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736" activeTab="0"/>
  </bookViews>
  <sheets>
    <sheet name="PWD" sheetId="1" r:id="rId1"/>
    <sheet name="PWW" sheetId="2" r:id="rId2"/>
    <sheet name="D1" sheetId="3" r:id="rId3"/>
    <sheet name="1" sheetId="4" r:id="rId4"/>
    <sheet name="2" sheetId="5" r:id="rId5"/>
    <sheet name="3" sheetId="6" r:id="rId6"/>
    <sheet name="4" sheetId="7" r:id="rId7"/>
    <sheet name="5" sheetId="8" r:id="rId8"/>
    <sheet name="6" sheetId="9" r:id="rId9"/>
    <sheet name="7" sheetId="10" r:id="rId10"/>
    <sheet name="9" sheetId="11" r:id="rId11"/>
    <sheet name="11" sheetId="12" r:id="rId12"/>
    <sheet name="12" sheetId="13" r:id="rId13"/>
    <sheet name="13" sheetId="14" r:id="rId14"/>
    <sheet name="14" sheetId="15" r:id="rId15"/>
    <sheet name="16" sheetId="16" r:id="rId16"/>
    <sheet name="17" sheetId="17" r:id="rId17"/>
    <sheet name="PDP" sheetId="18" r:id="rId18"/>
  </sheets>
  <externalReferences>
    <externalReference r:id="rId21"/>
  </externalReferences>
  <definedNames>
    <definedName name="_xlnm.Print_Area" localSheetId="3">'1'!$A$1:$G$131</definedName>
    <definedName name="_xlnm.Print_Area" localSheetId="11">'11'!$A$1:$F$10</definedName>
    <definedName name="_xlnm.Print_Area" localSheetId="12">'12'!$A$1:$G$10</definedName>
    <definedName name="_xlnm.Print_Area" localSheetId="13">'13'!$A$1:$F$12</definedName>
    <definedName name="_xlnm.Print_Area" localSheetId="14">'14'!$A$1:$J$18</definedName>
    <definedName name="_xlnm.Print_Area" localSheetId="15">'16'!$A$1:$J$16</definedName>
    <definedName name="_xlnm.Print_Area" localSheetId="16">'17'!$A$1:$F$18</definedName>
    <definedName name="_xlnm.Print_Area" localSheetId="4">'2'!$A$1:$L$270</definedName>
    <definedName name="_xlnm.Print_Area" localSheetId="5">'3'!$A$1:$D$50</definedName>
    <definedName name="_xlnm.Print_Area" localSheetId="6">'4'!$A$1:$N$166</definedName>
    <definedName name="_xlnm.Print_Area" localSheetId="7">'5'!$A$1:$N$77</definedName>
    <definedName name="_xlnm.Print_Area" localSheetId="8">'6'!$A$1:$K$18</definedName>
    <definedName name="_xlnm.Print_Area" localSheetId="9">'7'!$A$1:$E$27</definedName>
    <definedName name="_xlnm.Print_Area" localSheetId="10">'9'!$A$1:$F$9</definedName>
    <definedName name="_xlnm.Print_Area" localSheetId="2">'D1'!$A$1:$C$62</definedName>
    <definedName name="_xlnm.Print_Area" localSheetId="0">'PWD'!$A$1:$G$141</definedName>
    <definedName name="_xlnm.Print_Area" localSheetId="1">'PWW'!$A$1:$G$296</definedName>
    <definedName name="_xlnm.Print_Titles" localSheetId="3">'1'!$4:$5</definedName>
    <definedName name="_xlnm.Print_Titles" localSheetId="4">'2'!$4:$6</definedName>
    <definedName name="_xlnm.Print_Titles" localSheetId="6">'4'!$4:$6</definedName>
    <definedName name="_xlnm.Print_Titles" localSheetId="7">'5'!$4:$5</definedName>
    <definedName name="_xlnm.Print_Titles" localSheetId="17">'PDP'!$4:$5</definedName>
    <definedName name="_xlnm.Print_Titles" localSheetId="0">'PWD'!$6:$8</definedName>
    <definedName name="_xlnm.Print_Titles" localSheetId="1">'PWW'!$6:$9</definedName>
  </definedNames>
  <calcPr fullCalcOnLoad="1"/>
</workbook>
</file>

<file path=xl/sharedStrings.xml><?xml version="1.0" encoding="utf-8"?>
<sst xmlns="http://schemas.openxmlformats.org/spreadsheetml/2006/main" count="2274" uniqueCount="942">
  <si>
    <t>podatek od spadków i darowizn</t>
  </si>
  <si>
    <t>opłata adiacencka</t>
  </si>
  <si>
    <t>opłata produktowa</t>
  </si>
  <si>
    <t>Udziały w podatkach</t>
  </si>
  <si>
    <r>
      <t xml:space="preserve"> </t>
    </r>
    <r>
      <rPr>
        <sz val="12"/>
        <rFont val="Times New Roman"/>
        <family val="1"/>
      </rPr>
      <t>dochodowy od osób prawnych</t>
    </r>
  </si>
  <si>
    <t>dochodowy od osób fizycznych</t>
  </si>
  <si>
    <t>Subwencja ogólna</t>
  </si>
  <si>
    <t>część wyrównawcza</t>
  </si>
  <si>
    <t>część równoważąca</t>
  </si>
  <si>
    <t>część oświatowa</t>
  </si>
  <si>
    <t>Dochody z majątku gminy</t>
  </si>
  <si>
    <t>Czynsze i dzierżawy</t>
  </si>
  <si>
    <t>Sprzedaż mienia komunalnego</t>
  </si>
  <si>
    <t>Wieczyste użytkowanie</t>
  </si>
  <si>
    <t xml:space="preserve">V. </t>
  </si>
  <si>
    <t>Pozostałe dochody</t>
  </si>
  <si>
    <t>Odsetki</t>
  </si>
  <si>
    <t xml:space="preserve"> - z tytułu zwłoki – osoby prawne</t>
  </si>
  <si>
    <t xml:space="preserve"> - z tytułu lokat</t>
  </si>
  <si>
    <t xml:space="preserve"> - pozostałe odsetki</t>
  </si>
  <si>
    <t>Usługi opiekuńcze</t>
  </si>
  <si>
    <t>Wpływy z zew. na sprzedaż alkoholu</t>
  </si>
  <si>
    <t>Zwrot kosztów utrzymania przedszkola</t>
  </si>
  <si>
    <t>Dzierżawy obwodów łowieckich</t>
  </si>
  <si>
    <t>Dochody JST związane z realizacją zadań rządowych - udział gminy w dochodach za wydane dowody osobiste</t>
  </si>
  <si>
    <t>Darowizny</t>
  </si>
  <si>
    <t>Różne dochody</t>
  </si>
  <si>
    <t>VI.</t>
  </si>
  <si>
    <t>Dotacje związane z realizacją zadań zleconych i dotacje celowe</t>
  </si>
  <si>
    <t>VII.</t>
  </si>
  <si>
    <t>Dotacje na zadania własne</t>
  </si>
  <si>
    <t>VIII.</t>
  </si>
  <si>
    <t>X.</t>
  </si>
  <si>
    <r>
      <t xml:space="preserve">                   </t>
    </r>
    <r>
      <rPr>
        <b/>
        <sz val="16"/>
        <rFont val="Times New Roman"/>
        <family val="1"/>
      </rPr>
      <t>OGÓŁEM</t>
    </r>
  </si>
  <si>
    <r>
      <t xml:space="preserve"> </t>
    </r>
    <r>
      <rPr>
        <b/>
        <sz val="12"/>
        <rFont val="Arial CE"/>
        <family val="0"/>
      </rPr>
      <t>6)</t>
    </r>
    <r>
      <rPr>
        <b/>
        <sz val="12"/>
        <rFont val="Arial CE"/>
        <family val="2"/>
      </rPr>
      <t xml:space="preserve"> spłaty zobowiązań związanych z umową 
      zawartą z podmiotem dysponującym środkami, 
      o których mowa w art. 5 ust. 3 ufp. </t>
    </r>
    <r>
      <rPr>
        <sz val="12"/>
        <rFont val="Arial CE"/>
        <family val="0"/>
      </rPr>
      <t>(a+b+c+d):</t>
    </r>
  </si>
  <si>
    <t xml:space="preserve">     a) spłaty rat kredytów z odsetkami,</t>
  </si>
  <si>
    <t xml:space="preserve">     b) spłaty rat pożyczek z odsetkami,</t>
  </si>
  <si>
    <t xml:space="preserve">     c) wykup papierów wartościowych z odsetkami i dyskontem,</t>
  </si>
  <si>
    <t xml:space="preserve">     d) potencjalne spłaty poręczeń i gwarancji udzielonych 
        samorządowym osobom prawnym realizującym zadania jst</t>
  </si>
  <si>
    <r>
      <t xml:space="preserve">I. Wskaźnik rocznej spłaty łącznego zadłużenia  
    do dochodu </t>
    </r>
    <r>
      <rPr>
        <b/>
        <sz val="12"/>
        <rFont val="Arial CE"/>
        <family val="0"/>
      </rPr>
      <t xml:space="preserve"> (poz.46 / poz.1) %</t>
    </r>
  </si>
  <si>
    <r>
      <t xml:space="preserve">I1. Wskaźnik rocznej spłaty zadłużenia do 
     dochodu </t>
    </r>
    <r>
      <rPr>
        <i/>
        <sz val="12"/>
        <rFont val="Arial CE"/>
        <family val="0"/>
      </rPr>
      <t>(bez poz. 52)</t>
    </r>
    <r>
      <rPr>
        <b/>
        <sz val="12"/>
        <rFont val="Arial CE"/>
        <family val="0"/>
      </rPr>
      <t xml:space="preserve"> ((poz.46 (-) poz. 52) / poz.1) %</t>
    </r>
  </si>
  <si>
    <r>
      <t>1)</t>
    </r>
    <r>
      <rPr>
        <sz val="10"/>
        <rFont val="Arial CE"/>
        <family val="0"/>
      </rPr>
      <t xml:space="preserve">  - podać dane na poszczególne lata objęte spłatą całego zadłużenia
</t>
    </r>
    <r>
      <rPr>
        <vertAlign val="superscript"/>
        <sz val="10"/>
        <rFont val="Arial CE"/>
        <family val="0"/>
      </rPr>
      <t xml:space="preserve">2) </t>
    </r>
    <r>
      <rPr>
        <sz val="10"/>
        <rFont val="Arial CE"/>
        <family val="0"/>
      </rPr>
      <t xml:space="preserve"> -  depozyty przyjęte do budżetu </t>
    </r>
  </si>
  <si>
    <t>2011 r.</t>
  </si>
  <si>
    <t>2012 r.</t>
  </si>
  <si>
    <t>2013 r.</t>
  </si>
  <si>
    <t>2014 r.</t>
  </si>
  <si>
    <t>2015 r.</t>
  </si>
  <si>
    <t>2016 r.</t>
  </si>
  <si>
    <t xml:space="preserve"> - wykonanie tablic informacyjnych o powołanych zespołach przyrodniczo - krajobrazowych</t>
  </si>
  <si>
    <t xml:space="preserve"> - opłaty bankowe</t>
  </si>
  <si>
    <t>Wyszczególnienie</t>
  </si>
  <si>
    <t>4.</t>
  </si>
  <si>
    <t>Dział</t>
  </si>
  <si>
    <t>Rozdział</t>
  </si>
  <si>
    <t>§</t>
  </si>
  <si>
    <t>Treść</t>
  </si>
  <si>
    <t>w tym:</t>
  </si>
  <si>
    <t>ogółem</t>
  </si>
  <si>
    <t>Kwota</t>
  </si>
  <si>
    <t>Wydatki</t>
  </si>
  <si>
    <t>Przychody</t>
  </si>
  <si>
    <t>I.</t>
  </si>
  <si>
    <t>Zakłady budżetowe</t>
  </si>
  <si>
    <t>1.</t>
  </si>
  <si>
    <t>2.</t>
  </si>
  <si>
    <t>3.</t>
  </si>
  <si>
    <t>Gospodarstwa pomocnicze</t>
  </si>
  <si>
    <t>II.</t>
  </si>
  <si>
    <t>III.</t>
  </si>
  <si>
    <t>Nazwa</t>
  </si>
  <si>
    <t>5.</t>
  </si>
  <si>
    <t>Kredyty</t>
  </si>
  <si>
    <t>Pożyczki</t>
  </si>
  <si>
    <t>6.</t>
  </si>
  <si>
    <t>Nadwyżka budżetu z lat ubiegłych</t>
  </si>
  <si>
    <t>7.</t>
  </si>
  <si>
    <t>Przychody ogółem:</t>
  </si>
  <si>
    <t>§ 952</t>
  </si>
  <si>
    <t>§ 957</t>
  </si>
  <si>
    <t>Spłaty pożyczek udzielonych</t>
  </si>
  <si>
    <t>§ 955</t>
  </si>
  <si>
    <t>8.</t>
  </si>
  <si>
    <t>Spłaty pożyczek</t>
  </si>
  <si>
    <t>§ 992</t>
  </si>
  <si>
    <t>§ 995</t>
  </si>
  <si>
    <t>§ 994</t>
  </si>
  <si>
    <t>§ 982</t>
  </si>
  <si>
    <t>Rozchody z tytułu innych rozliczeń</t>
  </si>
  <si>
    <t>Wydatki bieżące</t>
  </si>
  <si>
    <t>IV.</t>
  </si>
  <si>
    <t>Wydatki majątkowe</t>
  </si>
  <si>
    <t>Rozdz.</t>
  </si>
  <si>
    <t>w złotych</t>
  </si>
  <si>
    <t>Nazwa zadania</t>
  </si>
  <si>
    <t>opłata od posiadania psów</t>
  </si>
  <si>
    <t>Wpływy z dywidend</t>
  </si>
  <si>
    <t>Dotacje rozwojowe</t>
  </si>
  <si>
    <t>2008-2011</t>
  </si>
  <si>
    <t>Nazwa instytucji</t>
  </si>
  <si>
    <t>Nazwa jednostki pomocniczej</t>
  </si>
  <si>
    <t>§ 991</t>
  </si>
  <si>
    <t>x</t>
  </si>
  <si>
    <t>Inne źródła (wolne środki)</t>
  </si>
  <si>
    <t>§ 903</t>
  </si>
  <si>
    <t>§ 951</t>
  </si>
  <si>
    <t>Spłaty kredytów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</si>
  <si>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</si>
  <si>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</si>
  <si>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</si>
  <si>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</si>
  <si>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2008 r.</t>
  </si>
  <si>
    <t>2009 r.</t>
  </si>
  <si>
    <t>Lp.</t>
  </si>
  <si>
    <t>Klasyfikacja
§</t>
  </si>
  <si>
    <t>Stan środków obrotowych na początek roku</t>
  </si>
  <si>
    <t>w tym: wpłata do budżetu</t>
  </si>
  <si>
    <t>Stan środków obrotowych na koniec roku</t>
  </si>
  <si>
    <t>2007-2009</t>
  </si>
  <si>
    <t>§ 931</t>
  </si>
  <si>
    <t>Planowane wydatki</t>
  </si>
  <si>
    <t>z tego:</t>
  </si>
  <si>
    <t>dotacje</t>
  </si>
  <si>
    <t>Wydatki
bieżące</t>
  </si>
  <si>
    <t>Wydatki
majątkowe</t>
  </si>
  <si>
    <t>Dotacje
ogółem</t>
  </si>
  <si>
    <t>Pożyczki na finansowanie zadań realizowanych
z udziałem środków pochodzących z budżetu UE</t>
  </si>
  <si>
    <t>Prywatyzacja majątku jst</t>
  </si>
  <si>
    <t>Rozchody ogółem:</t>
  </si>
  <si>
    <t>Ogółem</t>
  </si>
  <si>
    <t>§*</t>
  </si>
  <si>
    <t>Jednostka organizacyjna realizująca program lub koordynująca wykonanie programu</t>
  </si>
  <si>
    <t>Nazwa zadania inwestycyjnego</t>
  </si>
  <si>
    <t xml:space="preserve">§ 944 </t>
  </si>
  <si>
    <t>Wydatki
ogółem
(6+10)</t>
  </si>
  <si>
    <t>na inwestycje</t>
  </si>
  <si>
    <t>Papiery wartościowe (obligacje)</t>
  </si>
  <si>
    <t>Wykup papierów wartościowych (obligacji)</t>
  </si>
  <si>
    <t>(* kol. 3 do wykorzystania fakultatywnego)</t>
  </si>
  <si>
    <t>(* kol. 4 do wykorzystania fakultatywnego)</t>
  </si>
  <si>
    <t>Ogółem:</t>
  </si>
  <si>
    <t>pochodne od 
wynagrodzeń</t>
  </si>
  <si>
    <t>wynagro-
dzenia</t>
  </si>
  <si>
    <t>Okres realizacji</t>
  </si>
  <si>
    <t>2010 r.</t>
  </si>
  <si>
    <t>Łączne nakłady finansowe
(w zł)</t>
  </si>
  <si>
    <t>Nazwa projektu</t>
  </si>
  <si>
    <t>Lata realizacji projektu</t>
  </si>
  <si>
    <t>Źródła finansowania w odniesieniu do kosztów kwalifikowanych</t>
  </si>
  <si>
    <t>Planowane płatności w latach w ramach projektu</t>
  </si>
  <si>
    <t>środki UE</t>
  </si>
  <si>
    <t>środki JST</t>
  </si>
  <si>
    <t>inne środki</t>
  </si>
  <si>
    <t>Nazwa programu</t>
  </si>
  <si>
    <t>Wynagro-
dzenia</t>
  </si>
  <si>
    <t>Pochodne od 
wynagro-dzeń</t>
  </si>
  <si>
    <t>Dotacje</t>
  </si>
  <si>
    <t>Wydatki na obsługę długu</t>
  </si>
  <si>
    <t>Wydatki
z tytułu poręczeń
i gwarancji</t>
  </si>
  <si>
    <t>Wartość całkowita projektu
(w zł)</t>
  </si>
  <si>
    <t>Koszty kwalifikowane w ramach projektu
(w zł)</t>
  </si>
  <si>
    <t>Rachunki dochodów własnych jednostek budżetowych</t>
  </si>
  <si>
    <t>Kwota dotacji</t>
  </si>
  <si>
    <t>dotacje
z budżetu</t>
  </si>
  <si>
    <t>2008-2009</t>
  </si>
  <si>
    <t xml:space="preserve">Kwota dotacji </t>
  </si>
  <si>
    <t>Rozliczenia
z budżetem
z tytułu wpłat nadwyżek środków za 2007 r.</t>
  </si>
  <si>
    <t>OGÓŁEM:</t>
  </si>
  <si>
    <t>kredyty, pożyczki i obligacje</t>
  </si>
  <si>
    <t>Źródła finansowania</t>
  </si>
  <si>
    <t>na wydatki bieżące</t>
  </si>
  <si>
    <t>Źródła dochodów</t>
  </si>
  <si>
    <t>Dochody
bieżące</t>
  </si>
  <si>
    <t>Dochody
majątkowe</t>
  </si>
  <si>
    <t>Rozdział*</t>
  </si>
  <si>
    <t>Jednostka samorządu terytorialnego</t>
  </si>
  <si>
    <t>020</t>
  </si>
  <si>
    <t>Leśnictwo</t>
  </si>
  <si>
    <t>02095</t>
  </si>
  <si>
    <t>Pozostała działalność</t>
  </si>
  <si>
    <t>0750</t>
  </si>
  <si>
    <t>Dochody z najmu i dzierżawy składników majątkowych Skarbu państwa, jednostek samorządu terytorialnego, lub innych jednostek zaliczanych do sektora finansów publicznych oraz innych umów o podobnym charakterze</t>
  </si>
  <si>
    <t>Transport i łączność</t>
  </si>
  <si>
    <t>Drogi publiczne powiatowe</t>
  </si>
  <si>
    <t>2320</t>
  </si>
  <si>
    <t xml:space="preserve">Dotacje celowe otrzymane z powiatu na zadania bieżące realizowane na podstawie porozumień (umów) między jednostkami samorządu terytorialnego </t>
  </si>
  <si>
    <t>Gospodarka mieszkaniowa</t>
  </si>
  <si>
    <t>Gospodarka gruntami i nieruchomościami</t>
  </si>
  <si>
    <t>0470</t>
  </si>
  <si>
    <t>75045</t>
  </si>
  <si>
    <t>Komisje poborowe</t>
  </si>
  <si>
    <t>75405</t>
  </si>
  <si>
    <t>Komendy powiatowe Policji</t>
  </si>
  <si>
    <t>75411</t>
  </si>
  <si>
    <t>Komendy powiatowe Państwowej Straży Pożarnej</t>
  </si>
  <si>
    <t>75421</t>
  </si>
  <si>
    <t>Zarządzanie kryzysowe</t>
  </si>
  <si>
    <t>75478</t>
  </si>
  <si>
    <t>Wpływy z opłat za zarząd, użytkowanie i użytkowanie wieczyste nieruchomości</t>
  </si>
  <si>
    <t>Dochody z najmu i dzierżawy składników majątkowych Skarbu Państwa, jednostek samorządu terytorialnego, lub innych jednostek zaliczanych do sektora finansów publicznych oraz innych umów o podobnym charakterze</t>
  </si>
  <si>
    <t>0770</t>
  </si>
  <si>
    <t>6058
6060</t>
  </si>
  <si>
    <t>Uporządkowanie gospodarki wodno - ściekowej wokół jeziora Morzycko w zlewni rzeki Odry:
- Zadanie III - Moryń, Etap 2 i 3</t>
  </si>
  <si>
    <t xml:space="preserve">Wpłaty z tytułu odpłatnego nabycia prawa własności oraz prawa użytkowania wieczystego nieruchomości </t>
  </si>
  <si>
    <t>Działalność usługowa</t>
  </si>
  <si>
    <t>Cmentarze</t>
  </si>
  <si>
    <t>0830</t>
  </si>
  <si>
    <t>Wpływy z usług</t>
  </si>
  <si>
    <t>Administracja publiczna</t>
  </si>
  <si>
    <t>Urzędy wojewódzkie</t>
  </si>
  <si>
    <t>2010</t>
  </si>
  <si>
    <t>Dotacje celowe otrzymane z budżetu państwa na realizację zadań bieżących z zakresu administracji rządowej oraz innych zadań zleconych gminie (związkom gmin) ustawami</t>
  </si>
  <si>
    <t>2360</t>
  </si>
  <si>
    <t>Dochody jednostek samorządu terytorialnego związane z realizacją zadań z zakresu administracji rządowej oraz innych zadań zleconych ustawami</t>
  </si>
  <si>
    <t>Starostwa powiatowe</t>
  </si>
  <si>
    <t>Urzędy gmin (miast i miast na prawach powiatu)</t>
  </si>
  <si>
    <t xml:space="preserve">Wpływy z usług </t>
  </si>
  <si>
    <t>Urzędy naczelnych organów władzy państwowej, kontroli i ochrony prawa oraz sądownictwa</t>
  </si>
  <si>
    <t xml:space="preserve">Urzędy naczelnych organów władzy państwowej, kontroli i ochrony prawa </t>
  </si>
  <si>
    <t>Dochody od osób prawnych, od osób fizycznych i od innych jednostek nieposiadających osobowości prawnej oraz wydatki związane z ich poborem</t>
  </si>
  <si>
    <t>Wpływy z podatku dochodowego od osób fizycznych</t>
  </si>
  <si>
    <t>0350</t>
  </si>
  <si>
    <t>Podatek od działalności gospodarczej osób fizycznych, opłacany w formie karty podatkowej</t>
  </si>
  <si>
    <t>Wpływy z podatku rolnego, podatku leśnego, podatku od czynności cywilnoprawnych, podatków i opłat lokalnych od osób prawnych i innych jednostek organizacyjnych</t>
  </si>
  <si>
    <t>0310</t>
  </si>
  <si>
    <t xml:space="preserve">Podatek od nieruchomości </t>
  </si>
  <si>
    <t>0320</t>
  </si>
  <si>
    <t xml:space="preserve">Podatek rolny </t>
  </si>
  <si>
    <t>0330</t>
  </si>
  <si>
    <t xml:space="preserve">Podatek leśny </t>
  </si>
  <si>
    <t>0340</t>
  </si>
  <si>
    <t>Podatek od środków transportowych</t>
  </si>
  <si>
    <t>0910</t>
  </si>
  <si>
    <t>Wpływy z podatku rolnego, podatku leśnego, podatku od spadków i darowizn, podatku od czynności cywilno-prawnych oraz podatków i opłat lokalnych od osób fizycznych</t>
  </si>
  <si>
    <t>0360</t>
  </si>
  <si>
    <t>Podatek od spadków i darowizn</t>
  </si>
  <si>
    <t>0370</t>
  </si>
  <si>
    <t>0430</t>
  </si>
  <si>
    <t>Wpływy z opłaty targowej</t>
  </si>
  <si>
    <t>0440</t>
  </si>
  <si>
    <t>Wpływy z opłaty miejscowej</t>
  </si>
  <si>
    <t>0500</t>
  </si>
  <si>
    <t>Podatek od czynności cywilnoprawnych</t>
  </si>
  <si>
    <t>Wpływy z innych opłat stanowiących dochody jednostek samorządu terytorialnego na podstawie ustaw</t>
  </si>
  <si>
    <t>0410</t>
  </si>
  <si>
    <t>Wpływy z opłaty skarbowej</t>
  </si>
  <si>
    <t>0480</t>
  </si>
  <si>
    <t>Wpływy z opłat za wydawanie zezwoleń na sprzedaż alkoholu</t>
  </si>
  <si>
    <t>0490</t>
  </si>
  <si>
    <t>Wpływy z innych lokalnych opłat pobieranych przez jednostki samorządu terytorialnego na podstawie odrębnych ustaw</t>
  </si>
  <si>
    <t>Wpływy z różnych rozliczeń</t>
  </si>
  <si>
    <t>0460</t>
  </si>
  <si>
    <t>Wpływy z opłaty eksploatacyjnej</t>
  </si>
  <si>
    <t xml:space="preserve">Udziały gmin w podatkach stanowiących dochód budżetu państwa </t>
  </si>
  <si>
    <t>0010</t>
  </si>
  <si>
    <t>Podatek dochodowy od osób fizycznych</t>
  </si>
  <si>
    <t>Dywidendy</t>
  </si>
  <si>
    <t>0740</t>
  </si>
  <si>
    <t>Dywidendy i kwoty uzyskane ze zbycia praw majątkowych</t>
  </si>
  <si>
    <t>Różne rozliczenia</t>
  </si>
  <si>
    <t>Część oświatowa subwencji ogólnej dla jednostek samorządu terytorialnego</t>
  </si>
  <si>
    <t>Subwencje ogólne z budżetu państwa</t>
  </si>
  <si>
    <t>Część wyrównawcza subwencji ogólnej dla gmin</t>
  </si>
  <si>
    <t>Część równoważąca subwencji ogólnej dla gmin</t>
  </si>
  <si>
    <t>Oświata i wychowanie</t>
  </si>
  <si>
    <t>Szkoły podstawowe</t>
  </si>
  <si>
    <t>6260</t>
  </si>
  <si>
    <t>Przedszkola</t>
  </si>
  <si>
    <t>Gimnazja</t>
  </si>
  <si>
    <t xml:space="preserve"> - relizacja "Gminnego Programu Usuwania Azbestu"</t>
  </si>
  <si>
    <t>składki zus</t>
  </si>
  <si>
    <t xml:space="preserve"> doręczanie decyzji podatkowych</t>
  </si>
  <si>
    <t>ul. Kościuszki</t>
  </si>
  <si>
    <t xml:space="preserve"> * kredyt na ulice realizowane wspólnie z Poiwatem</t>
  </si>
  <si>
    <t>* Przedszkole - remont łazienek</t>
  </si>
  <si>
    <t>Kredyt</t>
  </si>
  <si>
    <t>Kolektory cieplne Kotłownia ul. Odrzańska</t>
  </si>
  <si>
    <t>telefony komórkowe</t>
  </si>
  <si>
    <t>Dotacje - porozumienia na zadania realizowane wspólnie z Powiatem Gryfino</t>
  </si>
  <si>
    <t xml:space="preserve">Planowane dochody związane z realizacją zadania w zakresie poprawy infrastruktury towarzyszącej zabudowie mieszkaniowej w miejscowości Witnica pozyskane z ANR </t>
  </si>
  <si>
    <r>
      <t xml:space="preserve">Planowane dochody związane z realizacją projektu </t>
    </r>
    <r>
      <rPr>
        <b/>
        <sz val="12"/>
        <rFont val="Times New Roman"/>
        <family val="1"/>
      </rPr>
      <t>"</t>
    </r>
    <r>
      <rPr>
        <b/>
        <sz val="11"/>
        <rFont val="Times New Roman"/>
        <family val="1"/>
      </rPr>
      <t>Rewitalizacji plaży miejskiej w Moryniu"</t>
    </r>
  </si>
  <si>
    <r>
      <t>Planowane dochody z PFOŚiGW w Gryfinie związane z realizacją zadania "</t>
    </r>
    <r>
      <rPr>
        <b/>
        <sz val="11"/>
        <rFont val="Times New Roman"/>
        <family val="1"/>
      </rPr>
      <t>Rekultywacja składowiska odpadów w Moryniu".</t>
    </r>
  </si>
  <si>
    <t>Zadania w zakresie promocji i turystyki</t>
  </si>
  <si>
    <t>Zadania w zakresie ochrony i promocji zdrowia</t>
  </si>
  <si>
    <t>Zadania w zakresie dofinasowania prac konserwatorskich, restauratorskich lub robót budowlanych przy zabytkach wpisanych do rejestru zabytków.</t>
  </si>
  <si>
    <t>zakup materiałów biurowych</t>
  </si>
  <si>
    <t>zakup usług i koszty ezgekucyjne</t>
  </si>
  <si>
    <t>zakup usług telefonicznych</t>
  </si>
  <si>
    <t>zakup papieru do drukarek</t>
  </si>
  <si>
    <t xml:space="preserve">aktualizacja oprogramowania </t>
  </si>
  <si>
    <t>szkolenia pracowników</t>
  </si>
  <si>
    <t>budowa oczyszczalni ścieków w Bielinie</t>
  </si>
  <si>
    <t>diety rady</t>
  </si>
  <si>
    <t>zakup materiałów</t>
  </si>
  <si>
    <t>konserwacja urzadzeń kserograficznych</t>
  </si>
  <si>
    <t>zakup usług poz. i szkolenia radnych</t>
  </si>
  <si>
    <t>rozmowy telefoniczne</t>
  </si>
  <si>
    <t>zakup papieru do urz kserograficznych</t>
  </si>
  <si>
    <t>BRAK DANYCH</t>
  </si>
  <si>
    <t>Ochrona zdrowia</t>
  </si>
  <si>
    <t>Pomoc społeczna</t>
  </si>
  <si>
    <t>Świadczenia rodzinne, zaliczka alimentacyjna oraz składki na ubezpieczenia emerytalne i rentowe z ubezpieczenia społecznego</t>
  </si>
  <si>
    <t>Składki na ubezpieczenie zdrowotne opłacane za osoby pobierające niektóre świadczenia z pomocy społecznej oraz niektóre świadczenia rodzinne</t>
  </si>
  <si>
    <t>Zasiłki i pomoc w naturze oraz składki na ubezpieczenia emerytalne i rentowe</t>
  </si>
  <si>
    <t>2030</t>
  </si>
  <si>
    <t>Dotacje celowe otrzymane z budżetu państwa na realizację własnych zadań bieżących gmin (związków gmin)</t>
  </si>
  <si>
    <t>Ośrodki pomocy społecznej</t>
  </si>
  <si>
    <t>Gospodarka komunalna i ochrona środowiska</t>
  </si>
  <si>
    <t>Wpływy i wydatki związane z gromadzeniem środków  z opłat produktowych</t>
  </si>
  <si>
    <t>0400</t>
  </si>
  <si>
    <t>Wpływy z opłaty produktowej</t>
  </si>
  <si>
    <t>Kultura Fizyczna i Sport</t>
  </si>
  <si>
    <t>6298</t>
  </si>
  <si>
    <t xml:space="preserve">Środki na dofinansowanie własnych inwestycji gmin (związków gmin), powiatów (związków powiatów), samorządów województw, pozyskane z innych źródeł </t>
  </si>
  <si>
    <t>Wpływy z różnych dochodów</t>
  </si>
  <si>
    <t>Budżet 2009 r.</t>
  </si>
  <si>
    <t>Przew. wyk 2008r.</t>
  </si>
  <si>
    <t>Plan
2009 r.</t>
  </si>
  <si>
    <t>Dochody budżetu Gminy Moryń w 2009 r.</t>
  </si>
  <si>
    <t>Remont chodnika w Nowym Obiezierzu</t>
  </si>
  <si>
    <t xml:space="preserve">Opłata od posiadania psów </t>
  </si>
  <si>
    <t>Dochody</t>
  </si>
  <si>
    <t>wg działów i rozdziałów</t>
  </si>
  <si>
    <t>część objaśniająca - liczbowa</t>
  </si>
  <si>
    <t>w  złotych</t>
  </si>
  <si>
    <t>Źródło dochodów</t>
  </si>
  <si>
    <t>%</t>
  </si>
  <si>
    <t>5</t>
  </si>
  <si>
    <t>010</t>
  </si>
  <si>
    <t>Rolictwo i łowiectwo</t>
  </si>
  <si>
    <t>01095</t>
  </si>
  <si>
    <t>2700</t>
  </si>
  <si>
    <t>Środki na dofinaoswnaie własnych zadań bieżących gmin (związków gmin) powiatów (związków powiatów),samorządów województwpozyskane z innych źródeł</t>
  </si>
  <si>
    <t>Turystyka</t>
  </si>
  <si>
    <t>Zadania w zakresie upowszechniania turystyki</t>
  </si>
  <si>
    <t>6290</t>
  </si>
  <si>
    <t>6339</t>
  </si>
  <si>
    <t>Dotacje celowe otrzymane z budżetu panstwa na realizację inwestycji i zakupów inwestycyjnych własnych gmin (związków gmin)</t>
  </si>
  <si>
    <t>Środki przekazane przez pozostałe jednostki zaliczane do sektora finansów publicznych na finansowanie lub dofinansowanie kosztów realizacji inwestycji i zakupów inwestycyjnych jednostek niezaliczanych do sektora finansów publicznych</t>
  </si>
  <si>
    <t>Dochody jednostek samorządu terytorialnego związane z realizacją zadań z zakresu administracji rządowej oraz innych zadań związanych ustawami</t>
  </si>
  <si>
    <t>Bezpieczeństwo publiczne i ochrona przeciwpożarowa</t>
  </si>
  <si>
    <t>Ochotnicze straże pożarne</t>
  </si>
  <si>
    <t>podatek od działalności osób fizycznych, opłacany w formie karty podatkowej</t>
  </si>
  <si>
    <t>Odsetki od nieterminowych wpłat z wpłat z z tytułu podatków i opłat</t>
  </si>
  <si>
    <t xml:space="preserve">Podatek od posiadania psów </t>
  </si>
  <si>
    <t>0450</t>
  </si>
  <si>
    <t>Wpływy z opłaty administracyjnej za czynności urzędowe</t>
  </si>
  <si>
    <t>Różne rozliczenia finansowe</t>
  </si>
  <si>
    <t>0920</t>
  </si>
  <si>
    <t>0970</t>
  </si>
  <si>
    <t>Wpływy z róznych dochodów</t>
  </si>
  <si>
    <t>Wpływy do wyjaśnienia</t>
  </si>
  <si>
    <t>2980</t>
  </si>
  <si>
    <t>6269</t>
  </si>
  <si>
    <t>MENIS</t>
  </si>
  <si>
    <t>Pozostała dzialalność</t>
  </si>
  <si>
    <t>Edukacyjna opieka wychowawcza</t>
  </si>
  <si>
    <t>Pomoc materialna dla uczniów</t>
  </si>
  <si>
    <t>Oczyszczanie miast i wsi</t>
  </si>
  <si>
    <t>2001-2010</t>
  </si>
  <si>
    <t>Budowa boisk sportowych wraz z terenem rekreacyjno - sportowym przy ul. Odrzańskiej w Moryniu - ORLIK 2012</t>
  </si>
  <si>
    <t>2008-2013</t>
  </si>
  <si>
    <t xml:space="preserve">Urząd Miejski
</t>
  </si>
  <si>
    <t>Adaptacaja budynku po byłym tzw. "Drogowcu" na sale lekcyjne i świetlicę szkolną</t>
  </si>
  <si>
    <t>Docieplenie i odwodnienie budynku świetlicy w Przyjezierzu</t>
  </si>
  <si>
    <t>6058
6059</t>
  </si>
  <si>
    <t>Wymiana kolektorów cieplnych zewnętrznych w kotłowni miejskiej w Moryniu</t>
  </si>
  <si>
    <t>Budowa placów zabaw i ternów rekreacyjnych w Przyjezierzu, Witnicy, Moryniu i Bielinie</t>
  </si>
  <si>
    <t>6050
6058
6059</t>
  </si>
  <si>
    <t>2009</t>
  </si>
  <si>
    <t>2011</t>
  </si>
  <si>
    <t>po roku 2011</t>
  </si>
  <si>
    <t>Środki na dofinasowanie własnych inwestycji gmin (związków gmin), powiatów (związków powiatów) samorządów województw, pozyskane z innych źródeł</t>
  </si>
  <si>
    <t>Dochody ogółem</t>
  </si>
  <si>
    <t>Rolnictwo i łowiectwo</t>
  </si>
  <si>
    <t>01008</t>
  </si>
  <si>
    <t>Melioracje wodne</t>
  </si>
  <si>
    <t>z tego</t>
  </si>
  <si>
    <t>pozostałe wydatki bieżące</t>
  </si>
  <si>
    <t>4300</t>
  </si>
  <si>
    <t>4270</t>
  </si>
  <si>
    <t>01010</t>
  </si>
  <si>
    <t>Infrastruktura wodociągowa i sanitacyjna wsi</t>
  </si>
  <si>
    <t>rezerwa ogólna na wydatki GPRPA</t>
  </si>
  <si>
    <t>rezerwa celowa na wydatki Rad Sołeckich</t>
  </si>
  <si>
    <t>wydatki majątkowe</t>
  </si>
  <si>
    <t>zakup usług remontowych</t>
  </si>
  <si>
    <t>6050</t>
  </si>
  <si>
    <t>wydatki inwestycyjne jednostek budżetowych</t>
  </si>
  <si>
    <t>01030</t>
  </si>
  <si>
    <t>Izby Rolnicze</t>
  </si>
  <si>
    <t>Zakup usług pozostałych</t>
  </si>
  <si>
    <t>wynagrodzenia i pochodne</t>
  </si>
  <si>
    <t>600</t>
  </si>
  <si>
    <t>60014</t>
  </si>
  <si>
    <t>zakup usług pozostałych</t>
  </si>
  <si>
    <t>60016</t>
  </si>
  <si>
    <t>Drogi publiczne gminne</t>
  </si>
  <si>
    <t>6060</t>
  </si>
  <si>
    <t>6058</t>
  </si>
  <si>
    <t>6059</t>
  </si>
  <si>
    <t>630</t>
  </si>
  <si>
    <t>63003</t>
  </si>
  <si>
    <t>4210</t>
  </si>
  <si>
    <t>zakup materiałów i wyposażenia</t>
  </si>
  <si>
    <t>409</t>
  </si>
  <si>
    <t>honoraria - pomnik Plac Wolności</t>
  </si>
  <si>
    <t>63095</t>
  </si>
  <si>
    <t>Zakup materiałów i wyposażenia</t>
  </si>
  <si>
    <t>4260</t>
  </si>
  <si>
    <t>Usługi w zakresie dostawy energii i wody</t>
  </si>
  <si>
    <t>Wydatki inwestycyjne jednostek budżetowych</t>
  </si>
  <si>
    <t>700</t>
  </si>
  <si>
    <t>70005</t>
  </si>
  <si>
    <t>zakup energii elektrycznej i wody</t>
  </si>
  <si>
    <t>zakup kosztki dla LOK dzik</t>
  </si>
  <si>
    <t>4390</t>
  </si>
  <si>
    <t>opinie i ekspertyzy</t>
  </si>
  <si>
    <t>zakupy inwestycyjne jednostek budżetowych</t>
  </si>
  <si>
    <t>710</t>
  </si>
  <si>
    <t>71004</t>
  </si>
  <si>
    <t>Plany zagospodarowania przestrzennego</t>
  </si>
  <si>
    <t>71014</t>
  </si>
  <si>
    <t>Opracowania geodezyjne i kartograficzne</t>
  </si>
  <si>
    <t>71035</t>
  </si>
  <si>
    <t>750</t>
  </si>
  <si>
    <t>75011</t>
  </si>
  <si>
    <t>Urzędy Wojewódzkie</t>
  </si>
  <si>
    <t>75020</t>
  </si>
  <si>
    <t>75022</t>
  </si>
  <si>
    <t>Rady gmin</t>
  </si>
  <si>
    <t>75023</t>
  </si>
  <si>
    <t>Urzędy gmin</t>
  </si>
  <si>
    <t>3020</t>
  </si>
  <si>
    <t>świadczenia rzeczowe bhp</t>
  </si>
  <si>
    <t>4010</t>
  </si>
  <si>
    <t>Wynagrodzenia osobowe wg kalkulacji</t>
  </si>
  <si>
    <t>4040</t>
  </si>
  <si>
    <t>dodatkowe wynagrodzenie roczne</t>
  </si>
  <si>
    <t>4110</t>
  </si>
  <si>
    <t>składki ZUS</t>
  </si>
  <si>
    <t>4120</t>
  </si>
  <si>
    <t>składki na FP</t>
  </si>
  <si>
    <t>4170</t>
  </si>
  <si>
    <t>6210</t>
  </si>
  <si>
    <t>wodociąg Bielin Macierz - STWiORB</t>
  </si>
  <si>
    <t>dotacja dla ZGKiM Moryń - 1 szt. pompy do wodociagu Moryń</t>
  </si>
  <si>
    <t>2850</t>
  </si>
  <si>
    <t xml:space="preserve">  składki na izby rolnicze</t>
  </si>
  <si>
    <t>60013</t>
  </si>
  <si>
    <t>Drogi publiczne wojewódzkie</t>
  </si>
  <si>
    <t>6300</t>
  </si>
  <si>
    <t xml:space="preserve">  - dofinasowanie WZD - przebudowa skrzyżwoania w Starym Objezierzu</t>
  </si>
  <si>
    <t xml:space="preserve">  - dofinasowanie WZD - Budowa sieci kanalizacji deszczoej odwadniajacej ul. Polnąi Dowcową</t>
  </si>
  <si>
    <t>zakup znaków drogowych</t>
  </si>
  <si>
    <t>Przebudowa infrastruktury towarzyszącej budowanictwu mieszkaniowemu w ciagu ulicy Osiedle Przyszłowść w Witnicy - dofinasowane z ANR 80%</t>
  </si>
  <si>
    <t xml:space="preserve"> * chodnik na ulicy szkolnej w Moryniu</t>
  </si>
  <si>
    <t xml:space="preserve"> * dokończenie chodnika w Nowym Objezierzu</t>
  </si>
  <si>
    <t xml:space="preserve"> * Chodnik ul. Rynkowa</t>
  </si>
  <si>
    <t xml:space="preserve"> * parking przy szkole w Witnicy</t>
  </si>
  <si>
    <t>remonty dróg gruntowychw sołectwach i ściezki rowerowe</t>
  </si>
  <si>
    <t>oznakowanie turystyczne (tablice informacyjne o powołanych zespołech przyrodniczo-krajobrazowych)</t>
  </si>
  <si>
    <t>zakup materiałów i wyposażenia fajerwerki i zakupy oświetlenia placu</t>
  </si>
  <si>
    <t>GEOPARK, promenada, amfiteatr</t>
  </si>
  <si>
    <t>projekt rewitalizacja plaży Moryń</t>
  </si>
  <si>
    <t>obsługa plaży miejskiej</t>
  </si>
  <si>
    <t>dokumntacja i przyłącze wod-kan. Centrum Sportów wodnych</t>
  </si>
  <si>
    <t>zakup materiałów LOK Dzik</t>
  </si>
  <si>
    <t xml:space="preserve">remont budynków komunalnych ZGKiM </t>
  </si>
  <si>
    <t>remont elewacji budynku "RYBAKÓWKI"</t>
  </si>
  <si>
    <t>Budowa zbiorników bezodpływowych (Wisław, Stare Objezierze)</t>
  </si>
  <si>
    <t>wykupy nieruchomości (droga ul. Zielona, PKS Klępicz, stacja wodociagowa Mirowo,</t>
  </si>
  <si>
    <t>wykup nieruchomości _ DROGOWIEC</t>
  </si>
  <si>
    <t>prace na cmentarzach komunlanych (chodniki, kaplica moryń - dach i rynny)</t>
  </si>
  <si>
    <t>REMONT BUDYNKU URZEDU - KREDYT</t>
  </si>
  <si>
    <t>REGINA</t>
  </si>
  <si>
    <t>usuwanie nieczystości stałych z przystanków PKS</t>
  </si>
  <si>
    <t>likwidacja dzikich wysypisk</t>
  </si>
  <si>
    <t>zbiórka i transport odpadów komunalnych i niebezpiecznych</t>
  </si>
  <si>
    <t>usunięcie odpadów z akcji "sprzątanie świata" i "dzień ziemi"</t>
  </si>
  <si>
    <t>opłaty za monitoring składowiska odpadów</t>
  </si>
  <si>
    <t>rekultywacja składowiska odpadów w Moryniu  - Gmina</t>
  </si>
  <si>
    <t>rekultywacja składowiska odpadów w Moryniu - PFOŚiGW</t>
  </si>
  <si>
    <t>usługi ZGKiM - utrzymanie zielni</t>
  </si>
  <si>
    <t>przeprowadzenie zabiegów pielegnacyjnych przydrogach gminnych, tworzenie terenów zielonych</t>
  </si>
  <si>
    <t>6610</t>
  </si>
  <si>
    <t>dotacja dla ZGKiM - kosiarka samojezdna</t>
  </si>
  <si>
    <t>nasadzenia na drogach za wycięte drzewa</t>
  </si>
  <si>
    <t>zakup donic i krzewów - teren za UM</t>
  </si>
  <si>
    <t xml:space="preserve">zakup drzewek ozdobnych </t>
  </si>
  <si>
    <t>aktualizacja PGO i POŚ</t>
  </si>
  <si>
    <t>sprawozdania z realizacji PGO i POŚ</t>
  </si>
  <si>
    <t>Remont elewacji  bud.gosp. przy świetlicy w Gądnie</t>
  </si>
  <si>
    <t>docieplenie i odwodnienie budynku świetlicy w Przyjezierzu</t>
  </si>
  <si>
    <t>opracowanie dokumentacji na centrum spoełczno - Kulturalne w Starym Objezierzu</t>
  </si>
  <si>
    <t xml:space="preserve">dotacje na koscioły </t>
  </si>
  <si>
    <t>Murawa boiska głównego UKS Morzycko Moryń</t>
  </si>
  <si>
    <t>Boisko Moryń Szatnie</t>
  </si>
  <si>
    <t>ORLIK - GMINA</t>
  </si>
  <si>
    <t>chodnik w Przyjezierzu (wkład własny KREDYT 25.000)</t>
  </si>
  <si>
    <t>chodnik w Moryniu - Kościuszki - (wkład własny KREDYT 40.000)</t>
  </si>
  <si>
    <t>przebudowa skrzyżowania w Bielinie - wkład własny KREDYT 30.000</t>
  </si>
  <si>
    <t>wspólna realizacja zadań z zakresu  dróg i chodników z Powiatem Gryfino, w tym: (25.000 dochody; 25.000 Gmina KREDYT )</t>
  </si>
  <si>
    <t xml:space="preserve"> * szatnie Boisko MKS Morzycko</t>
  </si>
  <si>
    <t>Bielin</t>
  </si>
  <si>
    <t>* remont Drogowca</t>
  </si>
  <si>
    <t>prowizje sołtysów i inkasentów</t>
  </si>
  <si>
    <t>Kredyt100</t>
  </si>
  <si>
    <t>Pozyczka prefinasowanie</t>
  </si>
  <si>
    <t xml:space="preserve"> * Odwodnienie ulicy Polnej i Dworcowej</t>
  </si>
  <si>
    <t>Odsetki od nieterminowych wpłat z tytułu podatków i opłat</t>
  </si>
  <si>
    <t xml:space="preserve">Odsetki od nieterminowych wpłat z tytułu podatków i opłat </t>
  </si>
  <si>
    <t>dotacja rozwojowa</t>
  </si>
  <si>
    <t>kredyt</t>
  </si>
  <si>
    <t xml:space="preserve"> * chodnik w Witnicy od drogi Krajowej do os. Parkowego</t>
  </si>
  <si>
    <t>Przyjezierze</t>
  </si>
  <si>
    <t>* Kolektory cieplne  Odrzańska</t>
  </si>
  <si>
    <t>Pozostałe zadania</t>
  </si>
  <si>
    <t>kredyt na własne</t>
  </si>
  <si>
    <t>ORLIK - D (Marszałek i Ministerstwo)</t>
  </si>
  <si>
    <t>Przygotowanie terenów na place zabaw</t>
  </si>
  <si>
    <t>Poż.pref.</t>
  </si>
  <si>
    <t>powiat 30000</t>
  </si>
  <si>
    <t>powiat 40000</t>
  </si>
  <si>
    <t>powiat 25000</t>
  </si>
  <si>
    <t>Zadania wspólne z powiatem</t>
  </si>
  <si>
    <t>monitoring wizyjny Placu Wolności w Moryniu</t>
  </si>
  <si>
    <t>Powiat - dochody</t>
  </si>
  <si>
    <t>Dotacje otrzymane z funduszy celowych na finansowanie lub dofinansowanie kosztów realizacji inwestycji i zakupów inwestycyjnych jednostek sektora finansów publicznych</t>
  </si>
  <si>
    <t>wynagrodzenia bezosobowe</t>
  </si>
  <si>
    <t>zakupy rzeczowe</t>
  </si>
  <si>
    <t>energia elektryczna i woda</t>
  </si>
  <si>
    <t>4280</t>
  </si>
  <si>
    <t>zakup usług zdrowotnych</t>
  </si>
  <si>
    <t>4350</t>
  </si>
  <si>
    <t>zakup usług dostępu do sieci internet</t>
  </si>
  <si>
    <t>4370</t>
  </si>
  <si>
    <t>opłaty z tyt. zakupu usług telekomunikacyjnych telefonii stacjonarnej</t>
  </si>
  <si>
    <t>usługi prawnicze</t>
  </si>
  <si>
    <t>4410</t>
  </si>
  <si>
    <t>podróże służbowe krajowe</t>
  </si>
  <si>
    <t>4420</t>
  </si>
  <si>
    <t>podróże służbowe zagraniczne</t>
  </si>
  <si>
    <t>4440</t>
  </si>
  <si>
    <t>odpis na zakładowy fundusz świadczeń socjalnych</t>
  </si>
  <si>
    <t>4740</t>
  </si>
  <si>
    <t>Zakup materiałów papierniczych do sprzętu drukarskiego i urządzeń kserograficznych</t>
  </si>
  <si>
    <t>4750</t>
  </si>
  <si>
    <t>zakup akcesoriów komputerowych, w tym programów i licencji</t>
  </si>
  <si>
    <t>0</t>
  </si>
  <si>
    <t>75095</t>
  </si>
  <si>
    <t>4430</t>
  </si>
  <si>
    <t>różne opłaty i składki</t>
  </si>
  <si>
    <t>751</t>
  </si>
  <si>
    <t>75101</t>
  </si>
  <si>
    <t>75109</t>
  </si>
  <si>
    <t>Wybory do rad gmin, rad powiatów i sejmików województw, wybory wójtów, burmistrzów i prezydentów miast oraz referenda gminne, powiatowe i wojewódzkie</t>
  </si>
  <si>
    <t>754</t>
  </si>
  <si>
    <t>75406</t>
  </si>
  <si>
    <t>Straż Graniczna</t>
  </si>
  <si>
    <t>75412</t>
  </si>
  <si>
    <t>wydatki osobowe nie zaliczone do wynagrodzeń</t>
  </si>
  <si>
    <t>Składki ZUS</t>
  </si>
  <si>
    <t>Zakup energii</t>
  </si>
  <si>
    <t>Różne opłaty i składki</t>
  </si>
  <si>
    <t>2011r.</t>
  </si>
  <si>
    <t>po roku
2011</t>
  </si>
  <si>
    <t>2007-2011</t>
  </si>
  <si>
    <t>REALIZ</t>
  </si>
  <si>
    <t>Przebudowa infrastruktury technicznej towarzyszącej zabudowie mieszkaniowej w ciągu ulicy Osiedle Przyszłość w Witnicy</t>
  </si>
  <si>
    <t>2009-2011</t>
  </si>
  <si>
    <t>wydatki na zakupy inwestycyjne jednostek budzetowtych</t>
  </si>
  <si>
    <t>75414</t>
  </si>
  <si>
    <t>Obrona cywilna</t>
  </si>
  <si>
    <t>75495</t>
  </si>
  <si>
    <t>756</t>
  </si>
  <si>
    <t>75647</t>
  </si>
  <si>
    <t xml:space="preserve">Pobór podatków, opłat i niepodatkowych należności budżetowych </t>
  </si>
  <si>
    <t>wydatki osobowe niezaliczone do wynagrodzeń</t>
  </si>
  <si>
    <t>wynagrodzenia osobowe pracowników</t>
  </si>
  <si>
    <t>Składki na ubezpieczenie społeczne</t>
  </si>
  <si>
    <t>4360</t>
  </si>
  <si>
    <t>zakup materiałów papierniczych do sprzętu drukarskiego i  urządzeń kserograficznych</t>
  </si>
  <si>
    <t>757</t>
  </si>
  <si>
    <t>Obsługa długu publicznego</t>
  </si>
  <si>
    <t>75702</t>
  </si>
  <si>
    <t>Obsługa papierów wartościowych, kredytów, i pożyczek jst</t>
  </si>
  <si>
    <t>wydatki na obsługę długu</t>
  </si>
  <si>
    <t>8070</t>
  </si>
  <si>
    <t>odsetki i dyskonto od krajowych skarbowych papierów wartościowych oraz krajowych pożyczek i kredytów</t>
  </si>
  <si>
    <t>8079</t>
  </si>
  <si>
    <t>758</t>
  </si>
  <si>
    <t>75818</t>
  </si>
  <si>
    <t>Rezerwy ogólne i celowe</t>
  </si>
  <si>
    <t>4810</t>
  </si>
  <si>
    <t>Rezerwy</t>
  </si>
  <si>
    <t>6800</t>
  </si>
  <si>
    <t>Rezerwy na inwestycje i zakupy inwestycyjne</t>
  </si>
  <si>
    <t>801</t>
  </si>
  <si>
    <t>80101</t>
  </si>
  <si>
    <t>80103</t>
  </si>
  <si>
    <t>Oddziały przedszkolne w szkołach podstawowych</t>
  </si>
  <si>
    <t>80104</t>
  </si>
  <si>
    <t>80110</t>
  </si>
  <si>
    <t>80113</t>
  </si>
  <si>
    <t>Dowożenie uczniów do szkół</t>
  </si>
  <si>
    <t>80146</t>
  </si>
  <si>
    <t>Dokształcanie i doskonalenie nauczycieli</t>
  </si>
  <si>
    <t>80195</t>
  </si>
  <si>
    <t>851</t>
  </si>
  <si>
    <t>85154</t>
  </si>
  <si>
    <t>Przeciwdziałanie alkoholizmowi</t>
  </si>
  <si>
    <t>85195</t>
  </si>
  <si>
    <t>852</t>
  </si>
  <si>
    <t>85212</t>
  </si>
  <si>
    <t>85213</t>
  </si>
  <si>
    <t>Składki na ubezpieczenia zdrowotne opłacane za osoby pobierające niektóre świadczenia z pomocy społecznej oraz niektóre świadczenia rodzinne</t>
  </si>
  <si>
    <t>85214</t>
  </si>
  <si>
    <t>85215</t>
  </si>
  <si>
    <t>Dodatki mieszkaniowe</t>
  </si>
  <si>
    <t>85219</t>
  </si>
  <si>
    <t>85295</t>
  </si>
  <si>
    <t>854</t>
  </si>
  <si>
    <t>85401</t>
  </si>
  <si>
    <t>Świetlice szkolne</t>
  </si>
  <si>
    <t>85415</t>
  </si>
  <si>
    <t>85446</t>
  </si>
  <si>
    <t>85495</t>
  </si>
  <si>
    <t>900</t>
  </si>
  <si>
    <t>90001</t>
  </si>
  <si>
    <t>Gospodarka ściekowa i ochrona wód</t>
  </si>
  <si>
    <t>90003</t>
  </si>
  <si>
    <t>90004</t>
  </si>
  <si>
    <t>Utrzymanie zieleni w miastach i gminach</t>
  </si>
  <si>
    <t>90015</t>
  </si>
  <si>
    <t>Oświetlenie ulic, placów i dróg</t>
  </si>
  <si>
    <t>90095</t>
  </si>
  <si>
    <t>921</t>
  </si>
  <si>
    <t>Kultura i ochrona dziedzictwa narodowego</t>
  </si>
  <si>
    <t>92109</t>
  </si>
  <si>
    <t>Domy i ośrodki kultury, świetlice i kluby</t>
  </si>
  <si>
    <t>2480</t>
  </si>
  <si>
    <t>dotacja dla MOK, biblioteki i świetlice</t>
  </si>
  <si>
    <t>wydatki  swierlic</t>
  </si>
  <si>
    <t xml:space="preserve">Prefinasowanie </t>
  </si>
  <si>
    <t>współfinansowanie</t>
  </si>
  <si>
    <t>92120</t>
  </si>
  <si>
    <t>Ochrona zabytków i opieka nad zabytkami</t>
  </si>
  <si>
    <t>926</t>
  </si>
  <si>
    <t>Kultura fizyczna i sport</t>
  </si>
  <si>
    <t>92605</t>
  </si>
  <si>
    <t>Zadania w zakresie kultury fizycznej i sportu</t>
  </si>
  <si>
    <t>92695</t>
  </si>
  <si>
    <t xml:space="preserve">z tego </t>
  </si>
  <si>
    <t>Ogółem wydatki</t>
  </si>
  <si>
    <t xml:space="preserve">w tym: </t>
  </si>
  <si>
    <t>Wybory do Sejmu i Senatu</t>
  </si>
  <si>
    <t xml:space="preserve">                              - osoby fizyczne </t>
  </si>
  <si>
    <t>1. Zakład Gospodarki Komunalnej i Mieszkaniowej 
w Moryniu</t>
  </si>
  <si>
    <t>75108</t>
  </si>
  <si>
    <t>92195</t>
  </si>
  <si>
    <t>Usuwanie skutków klęsk żywiołowych</t>
  </si>
  <si>
    <t>PFRON</t>
  </si>
  <si>
    <t>Szkolenia</t>
  </si>
  <si>
    <t>delegacje krajowe</t>
  </si>
  <si>
    <t xml:space="preserve">Zakup budynku po byłym tzw. "Drogowcu" od Powiatu Gryfino </t>
  </si>
  <si>
    <t>delegacje zagraniczne</t>
  </si>
  <si>
    <t>Urząd Miejski</t>
  </si>
  <si>
    <t>Budowa oczyszczalni ścieków w Bielinie</t>
  </si>
  <si>
    <t>Rekultywacja składowiska odpadów w Moryniu</t>
  </si>
  <si>
    <t>2005-2010</t>
  </si>
  <si>
    <t>Budowa boisk sportowych wraz z terenem rekreacyjno - sportowym przy ul. Odrzańskiej w Moryniu</t>
  </si>
  <si>
    <t>2008-2010</t>
  </si>
  <si>
    <t xml:space="preserve">Utworzenie centrum sportów wodnych w Moryniu </t>
  </si>
  <si>
    <t>Budowa promenady przy jeziorze Morzycko w Moryniu</t>
  </si>
  <si>
    <t>Budowa sieci wodociągowej Bielin - Macierz</t>
  </si>
  <si>
    <t>2009-2010</t>
  </si>
  <si>
    <t>Rewitalizacja ulicy Dojazdowej w Moryniu</t>
  </si>
  <si>
    <t>Rewitalizacja ulicy Kościuszki w Moryniu -  jednostronne przełożenie chodnika na starobruk</t>
  </si>
  <si>
    <t>Kompleksowy remont budynku Urzędu Miejskiego w Moryniu</t>
  </si>
  <si>
    <t>Modernizacja budynku Przedszkola w Moryniu</t>
  </si>
  <si>
    <t>Przebudowa skrzyżowania drogi gminnej z drogą powiatową w Bielinie</t>
  </si>
  <si>
    <t>Remont chodnika w Przyjezierzu</t>
  </si>
  <si>
    <t>Przełożenie chodnika wzdłuż ulicy Świerkowej w Moryniu</t>
  </si>
  <si>
    <t xml:space="preserve">Remont podjazdów z ulicy Moryńskiej w Przyjezierzu </t>
  </si>
  <si>
    <t>Budowa oświetlenia ulicy Wierzbowej w Moryniu i terenu boisk przyszkolnych w Moryniu</t>
  </si>
  <si>
    <t>OGÓŁEM</t>
  </si>
  <si>
    <t>Urząd Miejski
Sołectwo Mirowo</t>
  </si>
  <si>
    <t>Urząd Miejski
Sołectwo Stare Objezierze</t>
  </si>
  <si>
    <t>Urząd Miejski
Sołectwo Nowe Objezierze</t>
  </si>
  <si>
    <t>Urząd Miejski
Powiat Gryfiński</t>
  </si>
  <si>
    <t>Rewitalizacja plaży miejskiej w Moryniu - kompleksowe zagospodarowanie turystyczne i gospodarcze kąpieliska miejskiego</t>
  </si>
  <si>
    <t>Budowa infrastruktury wodociągowo-kanalizacyjnej przy ul. Lipowej w Moryniu</t>
  </si>
  <si>
    <t>Przebrukowanie placu manewrowo-postojowego przy OSP Moryń - ETAP I
(wjazd i cześć terenu</t>
  </si>
  <si>
    <t>Remont i kompleksowe zagospodarowanie amfiteatru w Parku Miejskim w Moryniu</t>
  </si>
  <si>
    <t>Przebudowa sieci wodociągowej w ulicy Zielonej w Gądnie</t>
  </si>
  <si>
    <t>Remont natrysków i sanitariatów w Zespole Szkół w Moryniu</t>
  </si>
  <si>
    <t>Zagospodarowanie turystyczno - gospodarcze "Rybakówki" w Moryniu</t>
  </si>
  <si>
    <t>Wiejskie centrum społeczno-kulturalne w Mirowie</t>
  </si>
  <si>
    <t>Społeczne centrum rekreacyjno - kulturalne w Starym Objezierzu</t>
  </si>
  <si>
    <t>Wiejskie centrum integracji kulturalnej i społecznej w Nowym Objezierzu</t>
  </si>
  <si>
    <t>Remont zadaszenia sali gimnastycznej w Witnicy</t>
  </si>
  <si>
    <t xml:space="preserve"> * remont budynku Urzedu</t>
  </si>
  <si>
    <t xml:space="preserve"> * rekultywacja składowiska odpadów</t>
  </si>
  <si>
    <t>GEOPARK</t>
  </si>
  <si>
    <t>Swietlica Mirowo</t>
  </si>
  <si>
    <t>Oczyszczalnia ścieków Bielin</t>
  </si>
  <si>
    <t>Uporzadkowanie Gospodarki Wodno ściekowej</t>
  </si>
  <si>
    <t>Wodociag Bielin Macierz</t>
  </si>
  <si>
    <t>* swietlica klepicz - wkład własny</t>
  </si>
  <si>
    <t>* swietlica Przyjezierze wkład Własny</t>
  </si>
  <si>
    <t>* Boiska Szkolne</t>
  </si>
  <si>
    <t>* remont przedszkola</t>
  </si>
  <si>
    <t>* świetlica Bielin</t>
  </si>
  <si>
    <t>Budowa placów zabaw w Przyjezierzu, Witnicy, Moryń plaża, Bielin</t>
  </si>
  <si>
    <t>projekt rekultywacji jeziora Morzycko</t>
  </si>
  <si>
    <t>Poż. Pref.</t>
  </si>
  <si>
    <t>poż. Pref.</t>
  </si>
  <si>
    <t>* Rewitalizacja Placu Wolności w Moryniu</t>
  </si>
  <si>
    <t>refundacja Boiska Szkolne</t>
  </si>
  <si>
    <t>Przebudowa i zagospodarowanie stadionu w Witnicy na centrum lekkoatletyki i sportu</t>
  </si>
  <si>
    <t>Urząd Miejski
Zespół Szkół 
w Moryniu</t>
  </si>
  <si>
    <t>Przebudowa infrastruktury towarzyszącej zabudowie mieszkaniowej w Witnicy</t>
  </si>
  <si>
    <t>Budowa placu zabaw w Przyjezierzu</t>
  </si>
  <si>
    <t>Urząd Miejski
Sołectwo Przyjezierze</t>
  </si>
  <si>
    <t>Budowa placu zabaw w miejscowości Dolsko</t>
  </si>
  <si>
    <t>Urząd Miejski
Sołectwo Dolsko</t>
  </si>
  <si>
    <t>Urząd Miejski
ANR O/T Szczecin</t>
  </si>
  <si>
    <t>Urząd Miejski
Powiat Gryfiński
ANR O/T Szczecin</t>
  </si>
  <si>
    <t>Program Rozwoju Obszarów Wiejskich na lata 2007-2013</t>
  </si>
  <si>
    <t>Regionalny Program Operacyjny Województwa Zachodniopomorskiego na lata 2007-2013</t>
  </si>
  <si>
    <t>1. Regionalny Program Operacyjny Województwa Zachodniopomorskiego na lata 2007-2015, lub
2. Europejska Współpraca  Terytorialna 2007-2013</t>
  </si>
  <si>
    <t>IX.</t>
  </si>
  <si>
    <t>XI.</t>
  </si>
  <si>
    <t>Europejska Współpraca  Terytorialna 2007-2013</t>
  </si>
  <si>
    <t>2007-2010</t>
  </si>
  <si>
    <t>Izby rolnicze</t>
  </si>
  <si>
    <t>Środki na dofinasowanie własnych inwestycji gmin (związków gmin), powiatów (związków powiatów), samorządów województw, pozyskane z innych źródeł</t>
  </si>
  <si>
    <t>usługi ZGKiM</t>
  </si>
  <si>
    <t>Stołówki szkolne</t>
  </si>
  <si>
    <t>przebrukowanie odcinka Dojazdowej</t>
  </si>
  <si>
    <t>energia elektryczna plaża</t>
  </si>
  <si>
    <t>remont pomostów</t>
  </si>
  <si>
    <t xml:space="preserve">energia elektryczna </t>
  </si>
  <si>
    <t>usługi pozostałe</t>
  </si>
  <si>
    <t>usł zgkim</t>
  </si>
  <si>
    <t>opinie prawne</t>
  </si>
  <si>
    <t>4700</t>
  </si>
  <si>
    <t>szkolenia</t>
  </si>
  <si>
    <t>80148</t>
  </si>
  <si>
    <t>zakup lamp</t>
  </si>
  <si>
    <t>Konserwacja</t>
  </si>
  <si>
    <t>Infr. Wod.kan. Ul. Lipowa</t>
  </si>
  <si>
    <t>oswietlenie ul. Wierzbowa</t>
  </si>
  <si>
    <t>wyłapywanie bezpańskich psów</t>
  </si>
  <si>
    <t>rezerwa celowa na zarządzanie kryzysowe</t>
  </si>
  <si>
    <t>remonty przystanków PKS</t>
  </si>
  <si>
    <t>świetlica Mirowo</t>
  </si>
  <si>
    <t>Świetlica Mirowo - Wkład własny'</t>
  </si>
  <si>
    <t>konserwacja zabytków</t>
  </si>
  <si>
    <t>ewidencja zabytków</t>
  </si>
  <si>
    <t>2820</t>
  </si>
  <si>
    <t xml:space="preserve">dotacje dla stowarzyszeń </t>
  </si>
  <si>
    <t>92601</t>
  </si>
  <si>
    <t>Obiekty sportowe</t>
  </si>
  <si>
    <t>zakup nagród w konkursach sportowych</t>
  </si>
  <si>
    <t>konserwacja rowu Stare Objezierze</t>
  </si>
  <si>
    <t>dofinasowanie prac spółek wodnych</t>
  </si>
  <si>
    <t>wodociąg Bielin Macierz - D</t>
  </si>
  <si>
    <t>wodociąg Bielin Macierz - W</t>
  </si>
  <si>
    <t>Refundacja - Świetlica Bielin</t>
  </si>
  <si>
    <t>Refundacja - Świetlica Przyjezierze</t>
  </si>
  <si>
    <t>Refundacja - Świetlica Gądno</t>
  </si>
  <si>
    <t>Dochody - świetlica Mirowo</t>
  </si>
  <si>
    <t>Sołectwo Bielin</t>
  </si>
  <si>
    <t>Sołectwo Dolsko</t>
  </si>
  <si>
    <t>Sołectwo Gądno</t>
  </si>
  <si>
    <t>Sołectwo Klępicz</t>
  </si>
  <si>
    <t>Sołectwo Mirowo</t>
  </si>
  <si>
    <t>Sołectwo Nowe Objezierze</t>
  </si>
  <si>
    <t>Sołectwo Stare Objezierze</t>
  </si>
  <si>
    <t>Sołectwo Przyjezierze</t>
  </si>
  <si>
    <t>Sołectwo Witnica</t>
  </si>
  <si>
    <t>Miasto Moryń</t>
  </si>
  <si>
    <t>Dział: 900 Rozdział: 90011</t>
  </si>
  <si>
    <t>Wpływy z różnych opłat</t>
  </si>
  <si>
    <t>0690</t>
  </si>
  <si>
    <t xml:space="preserve"> - usuwanie zagniwających glonów z jeziora Morzycko</t>
  </si>
  <si>
    <t xml:space="preserve"> - dofinansowanie akcji "Sprzątanie świata" i "Dzień Ziemi"</t>
  </si>
  <si>
    <t xml:space="preserve"> - dofinasowanie do zbiórki baterii</t>
  </si>
  <si>
    <t>dotacja TUR-MOR</t>
  </si>
  <si>
    <t>rezerwa ogólna, w tym na wyd.GKRPA z 2007r</t>
  </si>
  <si>
    <t>Uporz. Gosp. wod-ściekowej - Zadanie III, Etap 2 i 3</t>
  </si>
  <si>
    <t>KREDYT</t>
  </si>
  <si>
    <t>wykonanie parkingu przystadionie w witnicy</t>
  </si>
  <si>
    <t>opracowanie dokumntacji na modernizację stadionu w Witnicy</t>
  </si>
  <si>
    <t xml:space="preserve"> - opłaty za transport i składowanie odpadów segregowanych i niebezpiecznych</t>
  </si>
  <si>
    <t xml:space="preserve"> - opłaty za gospodarcze korzystanie ze środowiska</t>
  </si>
  <si>
    <t xml:space="preserve"> - opracowanie inwentaryzacji przyrodniczej Gminy Moryń</t>
  </si>
  <si>
    <t xml:space="preserve"> - partycypacja w kosztach utworzenia "Geoparku"</t>
  </si>
  <si>
    <t xml:space="preserve"> - likwidacja szrotówka ksztanowcowiaczka</t>
  </si>
  <si>
    <t xml:space="preserve"> - zakup drzewek i krzewów do nowych nasadzeń</t>
  </si>
  <si>
    <t xml:space="preserve"> - edukacja ekologiczna </t>
  </si>
  <si>
    <t>Miejski Ośrodek Kultury w Moryniu</t>
  </si>
  <si>
    <t>Zadania w zakresie upowszechniania kultury fizycznej i sportu</t>
  </si>
  <si>
    <t>ZGKiM</t>
  </si>
  <si>
    <t>przełożenie chodnika - ul. Świerkowa</t>
  </si>
  <si>
    <t>cmentarz witnica</t>
  </si>
  <si>
    <t>telefony</t>
  </si>
  <si>
    <t>remonty remiz</t>
  </si>
  <si>
    <t>Powiat Gryfiński</t>
  </si>
  <si>
    <t>X</t>
  </si>
  <si>
    <t>Wspólfinasowanie działalności Wartszatów Terapii Zajęciowej w Goszkowie</t>
  </si>
  <si>
    <r>
      <t xml:space="preserve">_________________________________________
        </t>
    </r>
    <r>
      <rPr>
        <i/>
        <sz val="8"/>
        <rFont val="Arial CE"/>
        <family val="2"/>
      </rPr>
      <t>(pieczęć  j.s.t.)</t>
    </r>
  </si>
  <si>
    <t xml:space="preserve">  w zł  </t>
  </si>
  <si>
    <t>Wykonanie</t>
  </si>
  <si>
    <t>Przewidywane wykonanie</t>
  </si>
  <si>
    <t>2006 r.</t>
  </si>
  <si>
    <t>2007 r.</t>
  </si>
  <si>
    <r>
      <t xml:space="preserve">A. DOCHODY </t>
    </r>
    <r>
      <rPr>
        <sz val="10"/>
        <rFont val="Arial CE"/>
        <family val="0"/>
      </rPr>
      <t>(A1+A2)</t>
    </r>
  </si>
  <si>
    <t>A1. Dochody bieżące</t>
  </si>
  <si>
    <t>A2. Dochody majątkowe</t>
  </si>
  <si>
    <r>
      <t xml:space="preserve">B. WYDATKI  </t>
    </r>
    <r>
      <rPr>
        <sz val="10"/>
        <rFont val="Arial CE"/>
        <family val="2"/>
      </rPr>
      <t>(B1+B2)</t>
    </r>
  </si>
  <si>
    <t>B1. Wydatki bieżące</t>
  </si>
  <si>
    <t>B2. Wydatki majątkowe</t>
  </si>
  <si>
    <t>C. NADWYŻKA / DEFICYT (A-B)</t>
  </si>
  <si>
    <t>D. FINANSOWANIE (D1-D2)</t>
  </si>
  <si>
    <r>
      <t xml:space="preserve">D1. Przychody ogółem 
    </t>
    </r>
    <r>
      <rPr>
        <b/>
        <sz val="12"/>
        <rFont val="Arial CE"/>
        <family val="0"/>
      </rPr>
      <t xml:space="preserve">   </t>
    </r>
    <r>
      <rPr>
        <sz val="12"/>
        <rFont val="Arial CE"/>
        <family val="0"/>
      </rPr>
      <t>z tego:</t>
    </r>
  </si>
  <si>
    <t>D11. kredyty
 w tym:</t>
  </si>
  <si>
    <t xml:space="preserve">      D111. zaciągnięte w związku z umową zawartą z podmiotem 
                dysponującym środkami, o których mowa w art. 5 ust. 3 ufp</t>
  </si>
  <si>
    <t>D12. pożyczki
w tym:</t>
  </si>
  <si>
    <t>Prognoza łącznej kwoty długu publicznego Gminy Moryń na lata 2009 - 2016</t>
  </si>
  <si>
    <t>zakup wież kwiatowych</t>
  </si>
  <si>
    <t>zakup donic betonowych</t>
  </si>
  <si>
    <t xml:space="preserve">      D121. zaciągnięte w związku z umową zawartą z podmiotem 
                dysponującym środkami, o których mowa w art. 5 ust. 3 ufp</t>
  </si>
  <si>
    <t xml:space="preserve">        D1211. pożyczki na prefinansowanie programów  i projektów 
                   zaciągnięte w związku z umową zawartą z podmiotem 
                   dysponującym środkami, o których mowa w art. 5 ust. 3 ufp</t>
  </si>
  <si>
    <r>
      <t>D13.</t>
    </r>
    <r>
      <rPr>
        <b/>
        <sz val="12"/>
        <rFont val="Arial CE"/>
        <family val="2"/>
      </rPr>
      <t xml:space="preserve"> spłata pożyczek udzielonych</t>
    </r>
  </si>
  <si>
    <r>
      <t>D14.</t>
    </r>
    <r>
      <rPr>
        <b/>
        <sz val="12"/>
        <rFont val="Arial CE"/>
        <family val="2"/>
      </rPr>
      <t xml:space="preserve"> nadwyżka z lat ubiegłych
w tym:</t>
    </r>
  </si>
  <si>
    <t>Uporządkowanie gospodarki wodno - ściekowej wokół jeziora Morzycko w zlewni rzeki Odry:
- Zadanie III - Moryń
- Etap.2 i 3</t>
  </si>
  <si>
    <t xml:space="preserve">     D141. środki na pokrycie deficytu</t>
  </si>
  <si>
    <t>Środki celowe otrzymane z powiatu na inwestycje i zakupy inwestycyjne realizowane na podstawie porozumień (umów) między jednostkami samorządu terytorialnego</t>
  </si>
  <si>
    <t>Dochody z najmu i dzierżawy składników majątkowych Skarbu Państwa, jednostek samorządu terytorialnego lub innych jednostek zaliczanych do sektora finansów publicznych oraz innych umów o podobnym charakterze</t>
  </si>
  <si>
    <t>D15. obligacje jednostek samorządowych 
        oraz związków komunalnych
w tym:</t>
  </si>
  <si>
    <t xml:space="preserve">     D151. wyemitowane w związku z umową zawartą z podmiotem 
              dysponującym środkami, o których mowa w art. 5 ust. 3 ufp</t>
  </si>
  <si>
    <t>D16. prywatyzacja majątku jst</t>
  </si>
  <si>
    <t>D17. inne źródła
w tym:</t>
  </si>
  <si>
    <t xml:space="preserve">       D171. środki na pokrycie deficytu</t>
  </si>
  <si>
    <r>
      <t xml:space="preserve">D2. Rozchody ogółem 
</t>
    </r>
    <r>
      <rPr>
        <b/>
        <sz val="13"/>
        <rFont val="Arial CE"/>
        <family val="0"/>
      </rPr>
      <t xml:space="preserve"> </t>
    </r>
    <r>
      <rPr>
        <b/>
        <sz val="12"/>
        <rFont val="Arial CE"/>
        <family val="0"/>
      </rPr>
      <t xml:space="preserve">      z tego:</t>
    </r>
  </si>
  <si>
    <t>D21. spłaty kredytów
 w tym:</t>
  </si>
  <si>
    <t xml:space="preserve">      D211. zaciągniętych w związku z umową zawartą z podmiotem 
                dysponującym środkami, o których mowa w art. 5 ust. 3 ufp</t>
  </si>
  <si>
    <t>D22. spłaty pożyczek
w tym:</t>
  </si>
  <si>
    <t>Centra informacyjne i rozbudowa  infrastruktury obiektów związanych z epoką lodowcową w Ziethen i Moryniu (Geopark – Kraina lodowca nad Odrą)</t>
  </si>
  <si>
    <t>2004-2011</t>
  </si>
  <si>
    <t>Centra informacyjne i rozbudowa  infrastruktury obiektów związanych z epoką lodowcową wZiethen i Moryniu (Geopark – Kraina lodowca nad Odrą)</t>
  </si>
  <si>
    <t>Zadanie w zakresie gospodarki komunalnej i utrzymania zieleni - dofinansowanie zakupu kosiarki samojezdnej dla ZGKiM</t>
  </si>
  <si>
    <t>Załącznik Nr 1
do Uchwały Nr XXII/196/2008
Rady Miejskiej w Moryniu 
z dnia 30 grudnia 2008r</t>
  </si>
  <si>
    <t>Załącznik Nr 2
do Uchwały Nr XXII/196/2008
Rady Miejskiej w Moryniu 
z dnia 30 grudnia 2008r</t>
  </si>
  <si>
    <t>Załącznik Nr 3
do Uchwały Nr XXII/196/2008
Rady Miejskiej w Moryniu 
z dnia 30 grudnia 2008r</t>
  </si>
  <si>
    <t>Załącznik Nr 4
do Uchwały Nr XXII/196/2008
Rady Miejskiej w Moryniu 
z dnia 30 grudnia 2008r</t>
  </si>
  <si>
    <t>Załącznik Nr 5
do Uchwały Nr XXII/196/2008
Rady Miejskiej w Moryniu 
z dnia 30 grudnia 2008r</t>
  </si>
  <si>
    <t>Załącznik Nr 6
do Uchwały Nr XXII/196/2008
Rady Miejskiej w Moryniu 
z dnia 30 grudnia 2008r</t>
  </si>
  <si>
    <t>Załącznik Nr 7
do Uchwały Nr XXII/196/2008
Rady Miejskiej w Moryniu 
z dnia 30 grudnia 2008r</t>
  </si>
  <si>
    <t>Załącznik Nr 8
do Uchwały Nr XXII/196/2008
Rady Miejskiej w Moryniu 
z dnia 30 grudnia 2008r</t>
  </si>
  <si>
    <t>Załącznik Nr 9
do Uchwały Nr XXII/196/2008
Rady Miejskiej w Moryniu 
z dnia 30 grudnia 2008r</t>
  </si>
  <si>
    <t>Załącznik Nr 10
do Uchwały Nr XXII/196/2008
Rady Miejskiej w Moryniu 
z dnia 30 grudnia 2008r</t>
  </si>
  <si>
    <t>Załącznik Nr 11
do Uchwały Nr XXII/196/2008
Rady Miejskiej w Moryniu 
z dnia 30 grudnia 2008r</t>
  </si>
  <si>
    <t>Załącznik Nr 12
do Uchwały Nr XXII/196/2008
Rady Miejskiej w Moryniu 
z dnia 30 grudnia 2008r</t>
  </si>
  <si>
    <t>Załącznik Nr 13
do Uchwały Nr XXII/196/2008
Rady Miejskiej w Moryniu 
z dnia 30 grudnia 2008r</t>
  </si>
  <si>
    <t>Załącznik Nr 14
do Uchwały Nr XXII/196/2008
Rady Miejskiej w Moryniu 
z dnia 30 grudnia 2008r</t>
  </si>
  <si>
    <t>Załącznik Nr 15
do Uchwały Nr XXII/196/2008
Rady Miejskiej w Moryniu 
z dnia 30 grudnia 2008r</t>
  </si>
  <si>
    <t xml:space="preserve">          D2211. zaciągniętych na prefinansowanie programów i projektów 
                      w związku z umową zawartą z podmiotem dysponującym 
                      środkami, o których mowa w art. 5 ust. 3 ufp</t>
  </si>
  <si>
    <r>
      <t>D23</t>
    </r>
    <r>
      <rPr>
        <b/>
        <sz val="12"/>
        <rFont val="Arial CE"/>
        <family val="2"/>
      </rPr>
      <t xml:space="preserve">. pożyczki </t>
    </r>
    <r>
      <rPr>
        <b/>
        <sz val="12"/>
        <rFont val="Arial CE"/>
        <family val="0"/>
      </rPr>
      <t>(udzielone)</t>
    </r>
  </si>
  <si>
    <r>
      <t>D24.</t>
    </r>
    <r>
      <rPr>
        <b/>
        <sz val="12"/>
        <rFont val="Arial CE"/>
        <family val="2"/>
      </rPr>
      <t xml:space="preserve"> lokaty w bankach</t>
    </r>
  </si>
  <si>
    <t>D25. wykup obligacji samorządowych
w tym:</t>
  </si>
  <si>
    <t xml:space="preserve">      D251. wyemitowanych w związku z umową zawartą z podmiotem 
               dysponującym środkami, o których mowa w art. 5 ust. 3 ufp.</t>
  </si>
  <si>
    <t>D26. inne cele</t>
  </si>
  <si>
    <t>E. Umorzenie pożyczki</t>
  </si>
  <si>
    <r>
      <t xml:space="preserve">F. DŁUG NA KONIEC ROKU
          </t>
    </r>
    <r>
      <rPr>
        <b/>
        <sz val="11"/>
        <rFont val="Arial CE"/>
        <family val="0"/>
      </rPr>
      <t>(1+2+3+4+5+6):</t>
    </r>
  </si>
  <si>
    <t xml:space="preserve"> 1) wyemitowane papiery wartościowe, </t>
  </si>
  <si>
    <t xml:space="preserve"> 2) zaciągnięte kredyty,</t>
  </si>
  <si>
    <t xml:space="preserve"> 3) zaciągnięte pożyczki,</t>
  </si>
  <si>
    <r>
      <t xml:space="preserve"> 4) przyjęte depozyty</t>
    </r>
    <r>
      <rPr>
        <b/>
        <vertAlign val="superscript"/>
        <sz val="12"/>
        <rFont val="Arial CE"/>
        <family val="0"/>
      </rPr>
      <t>2)</t>
    </r>
    <r>
      <rPr>
        <b/>
        <sz val="12"/>
        <rFont val="Arial CE"/>
        <family val="2"/>
      </rPr>
      <t>,</t>
    </r>
  </si>
  <si>
    <r>
      <t xml:space="preserve"> 5) wymagalne zobowiązania
</t>
    </r>
    <r>
      <rPr>
        <b/>
        <sz val="12"/>
        <rFont val="Arial CE"/>
        <family val="0"/>
      </rPr>
      <t>w tym:</t>
    </r>
  </si>
  <si>
    <t xml:space="preserve">   a) wynikające z ustaw i orzeczeń sądów
        lub ostatecznych decyzji administracyjnych,</t>
  </si>
  <si>
    <t xml:space="preserve">   b) uznane za bezsporne przez właściwą jednostkę
       sektora finansów publicznych, będącą dłużnikiem</t>
  </si>
  <si>
    <r>
      <t xml:space="preserve"> 6) zobowiązania związane z umową 
     zawartą z podmiotem dysponującym środkami, 
     o których mowa w art. 5 ust. 3 ufp. </t>
    </r>
    <r>
      <rPr>
        <sz val="12"/>
        <rFont val="Arial CE"/>
        <family val="0"/>
      </rPr>
      <t>(a+b+c):</t>
    </r>
    <r>
      <rPr>
        <b/>
        <sz val="12"/>
        <rFont val="Arial CE"/>
        <family val="2"/>
      </rPr>
      <t xml:space="preserve">   </t>
    </r>
  </si>
  <si>
    <t xml:space="preserve">      a) kredyty,</t>
  </si>
  <si>
    <t xml:space="preserve">      b) pożyczki,</t>
  </si>
  <si>
    <t xml:space="preserve">      c) emitowane papiery wartościowe.</t>
  </si>
  <si>
    <r>
      <t>G. Wska</t>
    </r>
    <r>
      <rPr>
        <b/>
        <sz val="13"/>
        <rFont val="Arial"/>
        <family val="2"/>
      </rPr>
      <t>ź</t>
    </r>
    <r>
      <rPr>
        <b/>
        <sz val="13"/>
        <rFont val="Arial CE"/>
        <family val="2"/>
      </rPr>
      <t>nik łącznego d</t>
    </r>
    <r>
      <rPr>
        <b/>
        <sz val="13"/>
        <rFont val="Arial"/>
        <family val="2"/>
      </rPr>
      <t>ł</t>
    </r>
    <r>
      <rPr>
        <b/>
        <sz val="13"/>
        <rFont val="Arial CE"/>
        <family val="2"/>
      </rPr>
      <t xml:space="preserve">ugu do dochodu 
  </t>
    </r>
    <r>
      <rPr>
        <b/>
        <sz val="11"/>
        <rFont val="Arial CE"/>
        <family val="0"/>
      </rPr>
      <t xml:space="preserve">   (poz.35</t>
    </r>
    <r>
      <rPr>
        <b/>
        <sz val="13"/>
        <rFont val="Arial CE"/>
        <family val="2"/>
      </rPr>
      <t xml:space="preserve"> / poz.1) %</t>
    </r>
  </si>
  <si>
    <r>
      <t>G1. Wska</t>
    </r>
    <r>
      <rPr>
        <b/>
        <sz val="13"/>
        <rFont val="Arial"/>
        <family val="2"/>
      </rPr>
      <t>ź</t>
    </r>
    <r>
      <rPr>
        <b/>
        <sz val="13"/>
        <rFont val="Arial CE"/>
        <family val="2"/>
      </rPr>
      <t>nik d</t>
    </r>
    <r>
      <rPr>
        <b/>
        <sz val="13"/>
        <rFont val="Arial"/>
        <family val="2"/>
      </rPr>
      <t>ł</t>
    </r>
    <r>
      <rPr>
        <b/>
        <sz val="13"/>
        <rFont val="Arial CE"/>
        <family val="2"/>
      </rPr>
      <t xml:space="preserve">ugu do dochodu </t>
    </r>
    <r>
      <rPr>
        <i/>
        <sz val="11"/>
        <rFont val="Arial CE"/>
        <family val="0"/>
      </rPr>
      <t>(bez poz. 43)</t>
    </r>
    <r>
      <rPr>
        <b/>
        <sz val="11"/>
        <rFont val="Arial CE"/>
        <family val="0"/>
      </rPr>
      <t xml:space="preserve">
     ((poz.35 (-) poz. 43) / poz.1) %</t>
    </r>
  </si>
  <si>
    <r>
      <t xml:space="preserve">H. OBCIĄŻENIE ROCZNE BUDŻETU
   z tytułu spłaty zadłużenia </t>
    </r>
    <r>
      <rPr>
        <b/>
        <sz val="11"/>
        <rFont val="Arial CE"/>
        <family val="0"/>
      </rPr>
      <t>(1+2+3+4+5+6):</t>
    </r>
  </si>
  <si>
    <r>
      <t xml:space="preserve"> 1)  spłaty rat kredytów</t>
    </r>
    <r>
      <rPr>
        <b/>
        <sz val="11"/>
        <rFont val="Arial CE"/>
        <family val="0"/>
      </rPr>
      <t xml:space="preserve"> (art.82 ust.1 pkt 2 i 3 ufp)</t>
    </r>
    <r>
      <rPr>
        <b/>
        <sz val="12"/>
        <rFont val="Arial CE"/>
        <family val="0"/>
      </rPr>
      <t xml:space="preserve"> </t>
    </r>
    <r>
      <rPr>
        <b/>
        <sz val="12"/>
        <rFont val="Arial CE"/>
        <family val="2"/>
      </rPr>
      <t>z odsetkami,</t>
    </r>
  </si>
  <si>
    <r>
      <t xml:space="preserve"> 2)  spłaty rat pożyczek </t>
    </r>
    <r>
      <rPr>
        <b/>
        <sz val="11"/>
        <rFont val="Arial CE"/>
        <family val="0"/>
      </rPr>
      <t>(art.82 ust.1 pkt 2 i 3 ufp)</t>
    </r>
    <r>
      <rPr>
        <b/>
        <sz val="12"/>
        <rFont val="Arial CE"/>
        <family val="2"/>
      </rPr>
      <t xml:space="preserve"> z odsetkami,</t>
    </r>
  </si>
  <si>
    <r>
      <t xml:space="preserve"> </t>
    </r>
    <r>
      <rPr>
        <b/>
        <sz val="12"/>
        <rFont val="Arial CE"/>
        <family val="0"/>
      </rPr>
      <t>3)</t>
    </r>
    <r>
      <rPr>
        <b/>
        <sz val="12"/>
        <rFont val="Arial CE"/>
        <family val="2"/>
      </rPr>
      <t xml:space="preserve"> potenc. spłaty udzielonych poręczeń
     z należnymi odsetkami,</t>
    </r>
  </si>
  <si>
    <t xml:space="preserve">DOCHODY </t>
  </si>
  <si>
    <t>Wpływy z usług, mienia i dochody związane z żywieniem – oświata</t>
  </si>
  <si>
    <t>Pozostała działalność -OPS</t>
  </si>
  <si>
    <t>Pozostała działalność -UM</t>
  </si>
  <si>
    <t xml:space="preserve">Pozostała działalność </t>
  </si>
  <si>
    <t>Plan
na 2009 r.</t>
  </si>
  <si>
    <t>Wydatki budżetu Gminy Moryń w 2009 r.</t>
  </si>
  <si>
    <t>ukr</t>
  </si>
  <si>
    <t>ukr'</t>
  </si>
  <si>
    <t>budżetu Gminy Moryń w 2009 roku</t>
  </si>
  <si>
    <r>
      <t>Przychody i rozchody</t>
    </r>
    <r>
      <rPr>
        <b/>
        <sz val="12"/>
        <rFont val="Arial CE"/>
        <family val="2"/>
      </rPr>
      <t xml:space="preserve">
budżetu Gminy Moryń
w 2009 r.</t>
    </r>
  </si>
  <si>
    <t>Kwota
2009 r.</t>
  </si>
  <si>
    <r>
      <t xml:space="preserve">Limity wydatków Gminy Moryń </t>
    </r>
    <r>
      <rPr>
        <b/>
        <sz val="12"/>
        <rFont val="Arial CE"/>
        <family val="2"/>
      </rPr>
      <t xml:space="preserve">
na wieloletnie programy inwestycyjne realizowane w latach 2009 i kolejnych</t>
    </r>
  </si>
  <si>
    <r>
      <t>Limity wydatków Gminy Moryń</t>
    </r>
    <r>
      <rPr>
        <b/>
        <sz val="12"/>
        <rFont val="Arial CE"/>
        <family val="2"/>
      </rPr>
      <t xml:space="preserve">
na projekty planowane do realizacji w ramach poszczególnych programów operacyjnych w latach 2009 i kolejnych</t>
    </r>
  </si>
  <si>
    <r>
      <t xml:space="preserve">Plan przychodów i wydatków </t>
    </r>
    <r>
      <rPr>
        <b/>
        <sz val="12"/>
        <rFont val="Arial CE"/>
        <family val="2"/>
      </rPr>
      <t xml:space="preserve">
zakładów budżetowych, gospodarstw pomocniczych oraz rachunków dochodów własnych jednostek budżetowych w 2009 r.</t>
    </r>
  </si>
  <si>
    <r>
      <t xml:space="preserve">Plan przychodów i wydatków </t>
    </r>
    <r>
      <rPr>
        <b/>
        <sz val="12"/>
        <rFont val="Arial CE"/>
        <family val="2"/>
      </rPr>
      <t xml:space="preserve">
Gminnego Funduszu Ochrony Środowiska i Gospodarki Wodnej
Gminy Moryń w 2009 r.</t>
    </r>
  </si>
  <si>
    <r>
      <t>Dotacje podmiotowe</t>
    </r>
    <r>
      <rPr>
        <b/>
        <sz val="12"/>
        <rFont val="Arial CE"/>
        <family val="2"/>
      </rPr>
      <t xml:space="preserve">
udzielone z budżetu Gminy Moryń</t>
    </r>
    <r>
      <rPr>
        <sz val="12"/>
        <rFont val="Arial CE"/>
        <family val="2"/>
      </rPr>
      <t xml:space="preserve">
</t>
    </r>
    <r>
      <rPr>
        <b/>
        <sz val="12"/>
        <rFont val="Arial CE"/>
        <family val="2"/>
      </rPr>
      <t>w 2009 r.</t>
    </r>
  </si>
  <si>
    <t>Plan na 2009 r.</t>
  </si>
  <si>
    <r>
      <t>Dotacje celowe</t>
    </r>
    <r>
      <rPr>
        <b/>
        <sz val="12"/>
        <rFont val="Arial CE"/>
        <family val="2"/>
      </rPr>
      <t xml:space="preserve">
udzielone z budżetu Gminy Moryń
na zadania własne gminy realizowane przez podmioty należące
do sektora finansów publicznych w 2009 r.</t>
    </r>
  </si>
  <si>
    <r>
      <t>Dotacje celowe</t>
    </r>
    <r>
      <rPr>
        <b/>
        <sz val="12"/>
        <rFont val="Arial CE"/>
        <family val="2"/>
      </rPr>
      <t xml:space="preserve">
udzielone z budżetu Gminy Moryń
na pomoc finansową innym jednostkom samorządu terytorialnego w 2009 r.</t>
    </r>
  </si>
  <si>
    <r>
      <t>Dochody i wydatki</t>
    </r>
    <r>
      <rPr>
        <b/>
        <sz val="12"/>
        <rFont val="Arial CE"/>
        <family val="2"/>
      </rPr>
      <t xml:space="preserve">
budżetu Gminy Moryń
związane z realizacją zadań z zakresu administracji rządowej i innych zadań zleconych odrębnymi ustawami
w 2009r.</t>
    </r>
  </si>
  <si>
    <r>
      <t>Dotacje celowe</t>
    </r>
    <r>
      <rPr>
        <b/>
        <sz val="12"/>
        <rFont val="Arial CE"/>
        <family val="2"/>
      </rPr>
      <t xml:space="preserve">
udzielone z budżetu Gminy Moryń
na zadania własne gminy realizowane przez podmioty 
nienależące do sektora finansów publicznych w 2009 r.</t>
    </r>
  </si>
  <si>
    <r>
      <t>Dochody i wydatki</t>
    </r>
    <r>
      <rPr>
        <b/>
        <sz val="12"/>
        <rFont val="Arial CE"/>
        <family val="2"/>
      </rPr>
      <t xml:space="preserve">
budżetu Gminy Moryń
związane z realizacją zadań wykonywanych na podstawie porozumień (umów) między jednostkami samorządu terytorialnego w 2009 r.</t>
    </r>
  </si>
  <si>
    <r>
      <t>Wydatki jednostek pomocniczych</t>
    </r>
    <r>
      <rPr>
        <b/>
        <sz val="12"/>
        <rFont val="Arial CE"/>
        <family val="2"/>
      </rPr>
      <t xml:space="preserve">
Gminy</t>
    </r>
    <r>
      <rPr>
        <sz val="12"/>
        <rFont val="Arial CE"/>
        <family val="2"/>
      </rPr>
      <t xml:space="preserve"> </t>
    </r>
    <r>
      <rPr>
        <b/>
        <sz val="12"/>
        <rFont val="Arial CE"/>
        <family val="0"/>
      </rPr>
      <t xml:space="preserve">Moryń </t>
    </r>
    <r>
      <rPr>
        <b/>
        <sz val="12"/>
        <rFont val="Arial CE"/>
        <family val="2"/>
      </rPr>
      <t>w 2009 r.</t>
    </r>
  </si>
  <si>
    <t>Przew. wyk. 2008r.</t>
  </si>
  <si>
    <r>
      <t xml:space="preserve"> </t>
    </r>
    <r>
      <rPr>
        <b/>
        <sz val="12"/>
        <rFont val="Arial CE"/>
        <family val="0"/>
      </rPr>
      <t>4)</t>
    </r>
    <r>
      <rPr>
        <b/>
        <sz val="12"/>
        <rFont val="Arial CE"/>
        <family val="2"/>
      </rPr>
      <t xml:space="preserve"> wykup papierów wartościowych</t>
    </r>
    <r>
      <rPr>
        <b/>
        <sz val="12"/>
        <rFont val="Arial CE"/>
        <family val="0"/>
      </rPr>
      <t xml:space="preserve"> </t>
    </r>
    <r>
      <rPr>
        <b/>
        <sz val="12"/>
        <rFont val="Arial CE"/>
        <family val="2"/>
      </rPr>
      <t xml:space="preserve">wyemitowanych 
     przez j.s.t. </t>
    </r>
    <r>
      <rPr>
        <sz val="12"/>
        <rFont val="Arial CE"/>
        <family val="0"/>
      </rPr>
      <t>(art.82 ust.1 pkt 2 i 3 ufp)</t>
    </r>
    <r>
      <rPr>
        <b/>
        <sz val="12"/>
        <rFont val="Arial CE"/>
        <family val="0"/>
      </rPr>
      <t>, 
     z należnymi odsetkami i dyskontem,</t>
    </r>
  </si>
  <si>
    <r>
      <t xml:space="preserve"> 5) odsetki od kredytów i pożyczek oraz odsetki 
    i dyskonto od papierów wart. wyemitowanych 
    przez jst </t>
    </r>
    <r>
      <rPr>
        <b/>
        <sz val="12"/>
        <rFont val="Arial CE"/>
        <family val="0"/>
      </rPr>
      <t>(art.82 ust.1 pkt 1 ufp),</t>
    </r>
  </si>
  <si>
    <t>według ważniejszych źródeł</t>
  </si>
  <si>
    <t>Plan</t>
  </si>
  <si>
    <t>Dochody z podatków i opłat</t>
  </si>
  <si>
    <t>Podatek od nieruchomości</t>
  </si>
  <si>
    <t>-</t>
  </si>
  <si>
    <t>osoby prawne</t>
  </si>
  <si>
    <t>osoby fizyczne</t>
  </si>
  <si>
    <t>Podatki i opłaty</t>
  </si>
  <si>
    <t>rolny – osoby prawne</t>
  </si>
  <si>
    <t>rolny osoby fizyczne</t>
  </si>
  <si>
    <t>podatek leśny – osoby prawne</t>
  </si>
  <si>
    <t>podatek leśny – osoby fizyczne</t>
  </si>
  <si>
    <t>opłata skarbowa</t>
  </si>
  <si>
    <t>opłata targowa</t>
  </si>
  <si>
    <t>opłata eksploatacyjna</t>
  </si>
  <si>
    <t>podatek od śr. transp. – osoby prawne</t>
  </si>
  <si>
    <t>podatek od śr. transp. – osoby fizyczne</t>
  </si>
  <si>
    <t>opłata miejscowa</t>
  </si>
  <si>
    <t>podatek od czynności cywilno-prawnych</t>
  </si>
  <si>
    <t>opłaty cmentarne</t>
  </si>
  <si>
    <t>karta podatkowa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</si>
</sst>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00#"/>
    <numFmt numFmtId="169" formatCode="##,##0"/>
    <numFmt numFmtId="170" formatCode="00#"/>
    <numFmt numFmtId="171" formatCode="000#"/>
    <numFmt numFmtId="172" formatCode="#,##0.0"/>
    <numFmt numFmtId="173" formatCode="#,##0;[Red]#,##0"/>
    <numFmt numFmtId="174" formatCode="#,##0.00\ _z_ł"/>
    <numFmt numFmtId="175" formatCode="#,##0\ &quot;zł&quot;"/>
    <numFmt numFmtId="176" formatCode="#,##0\ _z_ł"/>
  </numFmts>
  <fonts count="73">
    <font>
      <sz val="10"/>
      <name val="Arial CE"/>
      <family val="0"/>
    </font>
    <font>
      <sz val="11"/>
      <name val="Arial CE"/>
      <family val="2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b/>
      <sz val="13"/>
      <name val="Arial CE"/>
      <family val="2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i/>
      <sz val="8"/>
      <name val="Arial"/>
      <family val="2"/>
    </font>
    <font>
      <sz val="5"/>
      <name val="Arial"/>
      <family val="2"/>
    </font>
    <font>
      <i/>
      <u val="single"/>
      <sz val="8"/>
      <name val="Arial CE"/>
      <family val="0"/>
    </font>
    <font>
      <b/>
      <sz val="8"/>
      <name val="Arial CE"/>
      <family val="0"/>
    </font>
    <font>
      <i/>
      <sz val="10"/>
      <name val="Arial"/>
      <family val="2"/>
    </font>
    <font>
      <b/>
      <sz val="18"/>
      <name val="Arial CE"/>
      <family val="2"/>
    </font>
    <font>
      <b/>
      <i/>
      <sz val="10"/>
      <name val="Arial CE"/>
      <family val="0"/>
    </font>
    <font>
      <sz val="14"/>
      <name val="Arial CE"/>
      <family val="2"/>
    </font>
    <font>
      <b/>
      <sz val="16"/>
      <name val="Arial CE"/>
      <family val="0"/>
    </font>
    <font>
      <b/>
      <sz val="20"/>
      <name val="Arial CE"/>
      <family val="0"/>
    </font>
    <font>
      <i/>
      <sz val="6"/>
      <name val="Arial CE"/>
      <family val="0"/>
    </font>
    <font>
      <sz val="7"/>
      <name val="Arial CE"/>
      <family val="2"/>
    </font>
    <font>
      <i/>
      <u val="single"/>
      <sz val="10"/>
      <name val="Arial CE"/>
      <family val="0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i/>
      <sz val="9"/>
      <name val="Arial CE"/>
      <family val="0"/>
    </font>
    <font>
      <sz val="8"/>
      <name val="Arial"/>
      <family val="2"/>
    </font>
    <font>
      <i/>
      <sz val="8"/>
      <name val="Arial CE"/>
      <family val="2"/>
    </font>
    <font>
      <b/>
      <sz val="18"/>
      <name val="Arial"/>
      <family val="2"/>
    </font>
    <font>
      <b/>
      <i/>
      <u val="single"/>
      <sz val="12"/>
      <name val="Arial CE"/>
      <family val="2"/>
    </font>
    <font>
      <sz val="13"/>
      <name val="Arial CE"/>
      <family val="2"/>
    </font>
    <font>
      <sz val="12"/>
      <name val="Arial"/>
      <family val="0"/>
    </font>
    <font>
      <b/>
      <vertAlign val="superscript"/>
      <sz val="12"/>
      <name val="Arial CE"/>
      <family val="0"/>
    </font>
    <font>
      <b/>
      <sz val="13"/>
      <name val="Arial"/>
      <family val="2"/>
    </font>
    <font>
      <i/>
      <sz val="11"/>
      <name val="Arial CE"/>
      <family val="0"/>
    </font>
    <font>
      <i/>
      <sz val="12"/>
      <name val="Arial CE"/>
      <family val="0"/>
    </font>
    <font>
      <vertAlign val="superscript"/>
      <sz val="10"/>
      <name val="Arial CE"/>
      <family val="0"/>
    </font>
    <font>
      <sz val="18"/>
      <name val="Arial CE"/>
      <family val="0"/>
    </font>
    <font>
      <b/>
      <sz val="16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i/>
      <sz val="11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b/>
      <i/>
      <sz val="12"/>
      <name val="Arial CE"/>
      <family val="0"/>
    </font>
    <font>
      <i/>
      <sz val="8"/>
      <color indexed="10"/>
      <name val="Arial CE"/>
      <family val="0"/>
    </font>
    <font>
      <sz val="10"/>
      <name val="Times New Roman"/>
      <family val="1"/>
    </font>
    <font>
      <b/>
      <sz val="20"/>
      <name val="Arial"/>
      <family val="2"/>
    </font>
    <font>
      <b/>
      <sz val="26"/>
      <name val="Arial CE"/>
      <family val="0"/>
    </font>
    <font>
      <sz val="26"/>
      <name val="Arial CE"/>
      <family val="0"/>
    </font>
    <font>
      <sz val="10"/>
      <color indexed="9"/>
      <name val="Arial CE"/>
      <family val="0"/>
    </font>
    <font>
      <i/>
      <sz val="7"/>
      <name val="Arial"/>
      <family val="2"/>
    </font>
    <font>
      <sz val="7"/>
      <name val="Arial"/>
      <family val="2"/>
    </font>
    <font>
      <b/>
      <i/>
      <sz val="8"/>
      <name val="Arial CE"/>
      <family val="0"/>
    </font>
    <font>
      <b/>
      <i/>
      <sz val="10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i/>
      <sz val="10"/>
      <color indexed="10"/>
      <name val="Arial"/>
      <family val="2"/>
    </font>
    <font>
      <b/>
      <i/>
      <strike/>
      <sz val="10"/>
      <name val="Arial"/>
      <family val="2"/>
    </font>
    <font>
      <i/>
      <strike/>
      <sz val="10"/>
      <name val="Arial"/>
      <family val="2"/>
    </font>
    <font>
      <b/>
      <sz val="11"/>
      <name val="Times New Roman"/>
      <family val="1"/>
    </font>
    <font>
      <b/>
      <i/>
      <u val="single"/>
      <sz val="12"/>
      <color indexed="9"/>
      <name val="Arial CE"/>
      <family val="2"/>
    </font>
    <font>
      <sz val="10"/>
      <color indexed="9"/>
      <name val="Arial"/>
      <family val="2"/>
    </font>
    <font>
      <b/>
      <sz val="11"/>
      <color indexed="9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4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>
        <color indexed="8"/>
      </left>
      <right style="thin">
        <color indexed="8"/>
      </right>
      <top style="medium">
        <color indexed="8"/>
      </top>
      <bottom style="mediumDashed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Dashed"/>
    </border>
    <border>
      <left style="thin"/>
      <right>
        <color indexed="63"/>
      </right>
      <top style="medium"/>
      <bottom style="mediumDashed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Dashed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 style="hair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Dashed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Dashed"/>
    </border>
    <border>
      <left style="medium"/>
      <right style="thin"/>
      <top style="thin"/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mediumDashed"/>
      <bottom style="thin"/>
    </border>
    <border>
      <left style="thin">
        <color indexed="8"/>
      </left>
      <right style="thin">
        <color indexed="8"/>
      </right>
      <top style="mediumDashed"/>
      <bottom style="thin"/>
    </border>
    <border>
      <left style="thin"/>
      <right>
        <color indexed="63"/>
      </right>
      <top style="mediumDashed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Dashed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Dashed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Dashed">
        <color indexed="8"/>
      </bottom>
    </border>
    <border>
      <left style="medium">
        <color indexed="8"/>
      </left>
      <right style="thin">
        <color indexed="8"/>
      </right>
      <top style="mediumDashed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Dashed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medium"/>
      <bottom style="hair"/>
    </border>
    <border>
      <left style="thin"/>
      <right style="medium"/>
      <top style="hair"/>
      <bottom style="medium"/>
    </border>
    <border>
      <left style="thin"/>
      <right style="medium"/>
      <top style="hair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 style="mediumDashed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Dashed">
        <color indexed="8"/>
      </top>
      <bottom style="thin">
        <color indexed="8"/>
      </bottom>
    </border>
    <border>
      <left>
        <color indexed="63"/>
      </left>
      <right style="thin"/>
      <top style="mediumDashed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hair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hair"/>
    </border>
    <border>
      <left style="medium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7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>
      <alignment vertical="center" wrapText="1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 indent="1"/>
    </xf>
    <xf numFmtId="0" fontId="0" fillId="0" borderId="2" xfId="0" applyBorder="1" applyAlignment="1">
      <alignment horizontal="left" vertical="center" indent="2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0" fontId="16" fillId="0" borderId="0" xfId="0" applyFont="1" applyAlignment="1">
      <alignment vertical="center"/>
    </xf>
    <xf numFmtId="0" fontId="2" fillId="0" borderId="0" xfId="0" applyFont="1" applyAlignment="1">
      <alignment/>
    </xf>
    <xf numFmtId="0" fontId="12" fillId="0" borderId="0" xfId="0" applyFont="1" applyAlignment="1">
      <alignment vertical="center"/>
    </xf>
    <xf numFmtId="0" fontId="12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5" fillId="0" borderId="4" xfId="0" applyFont="1" applyBorder="1" applyAlignment="1">
      <alignment vertical="center" wrapText="1"/>
    </xf>
    <xf numFmtId="0" fontId="4" fillId="0" borderId="0" xfId="0" applyFont="1" applyAlignment="1">
      <alignment horizontal="center" vertical="top"/>
    </xf>
    <xf numFmtId="0" fontId="8" fillId="0" borderId="0" xfId="0" applyFont="1" applyAlignment="1">
      <alignment vertical="top" wrapText="1"/>
    </xf>
    <xf numFmtId="0" fontId="19" fillId="0" borderId="0" xfId="0" applyFont="1" applyAlignment="1">
      <alignment horizontal="right"/>
    </xf>
    <xf numFmtId="0" fontId="7" fillId="0" borderId="0" xfId="0" applyFont="1" applyAlignment="1">
      <alignment vertical="top"/>
    </xf>
    <xf numFmtId="0" fontId="0" fillId="0" borderId="0" xfId="0" applyAlignment="1">
      <alignment wrapText="1"/>
    </xf>
    <xf numFmtId="0" fontId="6" fillId="0" borderId="5" xfId="0" applyNumberFormat="1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wrapText="1"/>
    </xf>
    <xf numFmtId="3" fontId="6" fillId="0" borderId="5" xfId="0" applyNumberFormat="1" applyFont="1" applyFill="1" applyBorder="1" applyAlignment="1">
      <alignment/>
    </xf>
    <xf numFmtId="0" fontId="6" fillId="0" borderId="5" xfId="0" applyNumberFormat="1" applyFont="1" applyFill="1" applyBorder="1" applyAlignment="1" applyProtection="1">
      <alignment wrapText="1"/>
      <protection locked="0"/>
    </xf>
    <xf numFmtId="0" fontId="1" fillId="0" borderId="6" xfId="0" applyNumberFormat="1" applyFont="1" applyFill="1" applyBorder="1" applyAlignment="1">
      <alignment horizontal="center" vertical="center"/>
    </xf>
    <xf numFmtId="0" fontId="1" fillId="0" borderId="6" xfId="0" applyNumberFormat="1" applyFont="1" applyFill="1" applyBorder="1" applyAlignment="1">
      <alignment wrapText="1"/>
    </xf>
    <xf numFmtId="3" fontId="1" fillId="0" borderId="6" xfId="0" applyNumberFormat="1" applyFont="1" applyFill="1" applyBorder="1" applyAlignment="1">
      <alignment/>
    </xf>
    <xf numFmtId="3" fontId="6" fillId="0" borderId="7" xfId="0" applyNumberFormat="1" applyFont="1" applyFill="1" applyBorder="1" applyAlignment="1">
      <alignment/>
    </xf>
    <xf numFmtId="0" fontId="12" fillId="0" borderId="8" xfId="0" applyNumberFormat="1" applyFont="1" applyFill="1" applyBorder="1" applyAlignment="1">
      <alignment horizontal="center" vertical="center"/>
    </xf>
    <xf numFmtId="0" fontId="12" fillId="0" borderId="8" xfId="0" applyNumberFormat="1" applyFont="1" applyFill="1" applyBorder="1" applyAlignment="1">
      <alignment wrapText="1"/>
    </xf>
    <xf numFmtId="3" fontId="12" fillId="0" borderId="8" xfId="0" applyNumberFormat="1" applyFont="1" applyFill="1" applyBorder="1" applyAlignment="1">
      <alignment/>
    </xf>
    <xf numFmtId="0" fontId="12" fillId="0" borderId="6" xfId="0" applyNumberFormat="1" applyFont="1" applyFill="1" applyBorder="1" applyAlignment="1">
      <alignment horizontal="center" vertical="center"/>
    </xf>
    <xf numFmtId="0" fontId="12" fillId="0" borderId="6" xfId="0" applyNumberFormat="1" applyFont="1" applyFill="1" applyBorder="1" applyAlignment="1">
      <alignment wrapText="1"/>
    </xf>
    <xf numFmtId="3" fontId="12" fillId="0" borderId="6" xfId="0" applyNumberFormat="1" applyFont="1" applyFill="1" applyBorder="1" applyAlignment="1">
      <alignment/>
    </xf>
    <xf numFmtId="0" fontId="12" fillId="0" borderId="9" xfId="0" applyNumberFormat="1" applyFont="1" applyFill="1" applyBorder="1" applyAlignment="1">
      <alignment horizontal="center" vertical="center"/>
    </xf>
    <xf numFmtId="0" fontId="12" fillId="0" borderId="9" xfId="0" applyNumberFormat="1" applyFont="1" applyFill="1" applyBorder="1" applyAlignment="1">
      <alignment wrapText="1"/>
    </xf>
    <xf numFmtId="0" fontId="12" fillId="0" borderId="10" xfId="0" applyNumberFormat="1" applyFont="1" applyFill="1" applyBorder="1" applyAlignment="1">
      <alignment horizontal="center" vertical="center"/>
    </xf>
    <xf numFmtId="0" fontId="12" fillId="0" borderId="10" xfId="0" applyNumberFormat="1" applyFont="1" applyFill="1" applyBorder="1" applyAlignment="1">
      <alignment wrapText="1"/>
    </xf>
    <xf numFmtId="3" fontId="12" fillId="0" borderId="1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22" fillId="0" borderId="0" xfId="0" applyFont="1" applyAlignment="1">
      <alignment/>
    </xf>
    <xf numFmtId="172" fontId="4" fillId="0" borderId="0" xfId="0" applyNumberFormat="1" applyFont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left" vertical="center"/>
    </xf>
    <xf numFmtId="172" fontId="0" fillId="0" borderId="0" xfId="0" applyNumberFormat="1" applyAlignment="1">
      <alignment/>
    </xf>
    <xf numFmtId="49" fontId="5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0" fontId="0" fillId="0" borderId="0" xfId="0" applyFont="1" applyAlignment="1">
      <alignment horizontal="center"/>
    </xf>
    <xf numFmtId="172" fontId="23" fillId="0" borderId="0" xfId="0" applyNumberFormat="1" applyFont="1" applyAlignment="1">
      <alignment horizontal="center"/>
    </xf>
    <xf numFmtId="0" fontId="0" fillId="0" borderId="0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left" vertical="center"/>
    </xf>
    <xf numFmtId="3" fontId="5" fillId="0" borderId="16" xfId="0" applyNumberFormat="1" applyFont="1" applyFill="1" applyBorder="1" applyAlignment="1">
      <alignment horizontal="right" vertical="center"/>
    </xf>
    <xf numFmtId="172" fontId="5" fillId="0" borderId="15" xfId="0" applyNumberFormat="1" applyFont="1" applyFill="1" applyBorder="1" applyAlignment="1">
      <alignment horizontal="right" vertical="center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left" vertical="center"/>
    </xf>
    <xf numFmtId="173" fontId="0" fillId="0" borderId="18" xfId="0" applyNumberFormat="1" applyFont="1" applyFill="1" applyBorder="1" applyAlignment="1">
      <alignment horizontal="right" vertical="center"/>
    </xf>
    <xf numFmtId="172" fontId="0" fillId="0" borderId="19" xfId="0" applyNumberFormat="1" applyFont="1" applyFill="1" applyBorder="1" applyAlignment="1">
      <alignment horizontal="right" vertical="center"/>
    </xf>
    <xf numFmtId="49" fontId="5" fillId="0" borderId="15" xfId="0" applyNumberFormat="1" applyFont="1" applyFill="1" applyBorder="1" applyAlignment="1">
      <alignment horizontal="left" vertical="center" wrapText="1"/>
    </xf>
    <xf numFmtId="3" fontId="5" fillId="0" borderId="15" xfId="0" applyNumberFormat="1" applyFont="1" applyFill="1" applyBorder="1" applyAlignment="1">
      <alignment horizontal="right" vertical="center"/>
    </xf>
    <xf numFmtId="49" fontId="0" fillId="0" borderId="20" xfId="0" applyNumberFormat="1" applyFill="1" applyBorder="1" applyAlignment="1">
      <alignment horizontal="center" vertical="center"/>
    </xf>
    <xf numFmtId="49" fontId="0" fillId="0" borderId="17" xfId="0" applyNumberFormat="1" applyFill="1" applyBorder="1" applyAlignment="1">
      <alignment horizontal="center" vertical="center"/>
    </xf>
    <xf numFmtId="49" fontId="0" fillId="0" borderId="17" xfId="0" applyNumberFormat="1" applyFill="1" applyBorder="1" applyAlignment="1">
      <alignment horizontal="left" vertical="center" wrapText="1"/>
    </xf>
    <xf numFmtId="3" fontId="0" fillId="0" borderId="17" xfId="0" applyNumberFormat="1" applyFill="1" applyBorder="1" applyAlignment="1">
      <alignment horizontal="right" vertical="center"/>
    </xf>
    <xf numFmtId="172" fontId="0" fillId="0" borderId="17" xfId="0" applyNumberFormat="1" applyFill="1" applyBorder="1" applyAlignment="1">
      <alignment horizontal="right" vertical="center"/>
    </xf>
    <xf numFmtId="49" fontId="12" fillId="0" borderId="21" xfId="0" applyNumberFormat="1" applyFont="1" applyFill="1" applyBorder="1" applyAlignment="1">
      <alignment horizontal="center" vertical="center"/>
    </xf>
    <xf numFmtId="49" fontId="12" fillId="0" borderId="21" xfId="0" applyNumberFormat="1" applyFont="1" applyFill="1" applyBorder="1" applyAlignment="1">
      <alignment horizontal="left" vertical="center" wrapText="1"/>
    </xf>
    <xf numFmtId="3" fontId="12" fillId="0" borderId="21" xfId="0" applyNumberFormat="1" applyFont="1" applyFill="1" applyBorder="1" applyAlignment="1">
      <alignment horizontal="right" vertical="center"/>
    </xf>
    <xf numFmtId="172" fontId="12" fillId="0" borderId="21" xfId="0" applyNumberFormat="1" applyFont="1" applyFill="1" applyBorder="1" applyAlignment="1">
      <alignment horizontal="right" vertical="center"/>
    </xf>
    <xf numFmtId="0" fontId="12" fillId="0" borderId="0" xfId="0" applyFont="1" applyBorder="1" applyAlignment="1">
      <alignment/>
    </xf>
    <xf numFmtId="0" fontId="5" fillId="0" borderId="15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0" fillId="0" borderId="20" xfId="0" applyFill="1" applyBorder="1" applyAlignment="1">
      <alignment horizontal="center" vertical="center"/>
    </xf>
    <xf numFmtId="49" fontId="0" fillId="0" borderId="20" xfId="0" applyNumberFormat="1" applyFill="1" applyBorder="1" applyAlignment="1">
      <alignment horizontal="left" vertical="center" wrapText="1"/>
    </xf>
    <xf numFmtId="3" fontId="0" fillId="0" borderId="20" xfId="0" applyNumberFormat="1" applyFill="1" applyBorder="1" applyAlignment="1">
      <alignment horizontal="right" vertical="center"/>
    </xf>
    <xf numFmtId="172" fontId="0" fillId="0" borderId="20" xfId="0" applyNumberFormat="1" applyFill="1" applyBorder="1" applyAlignment="1">
      <alignment horizontal="right" vertical="center"/>
    </xf>
    <xf numFmtId="3" fontId="12" fillId="0" borderId="2" xfId="0" applyNumberFormat="1" applyFont="1" applyFill="1" applyBorder="1" applyAlignment="1">
      <alignment horizontal="right" vertical="center"/>
    </xf>
    <xf numFmtId="0" fontId="12" fillId="0" borderId="17" xfId="0" applyFont="1" applyFill="1" applyBorder="1" applyAlignment="1">
      <alignment horizontal="center" vertical="center"/>
    </xf>
    <xf numFmtId="49" fontId="12" fillId="0" borderId="17" xfId="0" applyNumberFormat="1" applyFont="1" applyFill="1" applyBorder="1" applyAlignment="1">
      <alignment horizontal="center" vertical="center"/>
    </xf>
    <xf numFmtId="49" fontId="12" fillId="0" borderId="17" xfId="0" applyNumberFormat="1" applyFont="1" applyFill="1" applyBorder="1" applyAlignment="1" applyProtection="1">
      <alignment horizontal="left" vertical="center" wrapText="1"/>
      <protection locked="0"/>
    </xf>
    <xf numFmtId="3" fontId="12" fillId="0" borderId="17" xfId="0" applyNumberFormat="1" applyFont="1" applyFill="1" applyBorder="1" applyAlignment="1">
      <alignment horizontal="right" vertical="center"/>
    </xf>
    <xf numFmtId="172" fontId="12" fillId="0" borderId="17" xfId="0" applyNumberFormat="1" applyFont="1" applyFill="1" applyBorder="1" applyAlignment="1">
      <alignment horizontal="right" vertical="center"/>
    </xf>
    <xf numFmtId="49" fontId="5" fillId="0" borderId="15" xfId="0" applyNumberFormat="1" applyFont="1" applyFill="1" applyBorder="1" applyAlignment="1" applyProtection="1">
      <alignment horizontal="left" vertical="center" wrapText="1"/>
      <protection locked="0"/>
    </xf>
    <xf numFmtId="0" fontId="0" fillId="0" borderId="20" xfId="0" applyFont="1" applyFill="1" applyBorder="1" applyAlignment="1">
      <alignment horizontal="center" vertical="center"/>
    </xf>
    <xf numFmtId="49" fontId="0" fillId="0" borderId="20" xfId="0" applyNumberFormat="1" applyFont="1" applyFill="1" applyBorder="1" applyAlignment="1">
      <alignment horizontal="center" vertical="center"/>
    </xf>
    <xf numFmtId="49" fontId="0" fillId="0" borderId="20" xfId="0" applyNumberFormat="1" applyFont="1" applyFill="1" applyBorder="1" applyAlignment="1" applyProtection="1">
      <alignment horizontal="left" vertical="center" wrapText="1"/>
      <protection locked="0"/>
    </xf>
    <xf numFmtId="3" fontId="0" fillId="0" borderId="20" xfId="0" applyNumberFormat="1" applyFont="1" applyFill="1" applyBorder="1" applyAlignment="1">
      <alignment horizontal="right" vertical="center"/>
    </xf>
    <xf numFmtId="172" fontId="0" fillId="0" borderId="20" xfId="0" applyNumberFormat="1" applyFont="1" applyFill="1" applyBorder="1" applyAlignment="1">
      <alignment horizontal="right" vertical="center"/>
    </xf>
    <xf numFmtId="0" fontId="0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49" fontId="12" fillId="0" borderId="2" xfId="0" applyNumberFormat="1" applyFont="1" applyFill="1" applyBorder="1" applyAlignment="1">
      <alignment horizontal="center" vertical="center"/>
    </xf>
    <xf numFmtId="49" fontId="12" fillId="0" borderId="2" xfId="0" applyNumberFormat="1" applyFont="1" applyFill="1" applyBorder="1" applyAlignment="1" applyProtection="1">
      <alignment horizontal="left" vertical="center" wrapText="1"/>
      <protection locked="0"/>
    </xf>
    <xf numFmtId="172" fontId="12" fillId="0" borderId="2" xfId="0" applyNumberFormat="1" applyFont="1" applyFill="1" applyBorder="1" applyAlignment="1">
      <alignment horizontal="right" vertical="center"/>
    </xf>
    <xf numFmtId="0" fontId="12" fillId="0" borderId="22" xfId="0" applyFont="1" applyFill="1" applyBorder="1" applyAlignment="1">
      <alignment horizontal="center" vertical="center"/>
    </xf>
    <xf numFmtId="49" fontId="12" fillId="0" borderId="22" xfId="0" applyNumberFormat="1" applyFont="1" applyFill="1" applyBorder="1" applyAlignment="1">
      <alignment horizontal="center" vertical="center"/>
    </xf>
    <xf numFmtId="49" fontId="12" fillId="0" borderId="22" xfId="0" applyNumberFormat="1" applyFont="1" applyFill="1" applyBorder="1" applyAlignment="1" applyProtection="1">
      <alignment horizontal="left" vertical="center" wrapText="1"/>
      <protection locked="0"/>
    </xf>
    <xf numFmtId="3" fontId="12" fillId="0" borderId="22" xfId="0" applyNumberFormat="1" applyFont="1" applyFill="1" applyBorder="1" applyAlignment="1">
      <alignment horizontal="right" vertical="center"/>
    </xf>
    <xf numFmtId="172" fontId="12" fillId="0" borderId="22" xfId="0" applyNumberFormat="1" applyFont="1" applyFill="1" applyBorder="1" applyAlignment="1">
      <alignment horizontal="right" vertical="center"/>
    </xf>
    <xf numFmtId="49" fontId="0" fillId="0" borderId="20" xfId="0" applyNumberFormat="1" applyFill="1" applyBorder="1" applyAlignment="1" applyProtection="1">
      <alignment horizontal="left" vertical="center" wrapText="1"/>
      <protection locked="0"/>
    </xf>
    <xf numFmtId="0" fontId="12" fillId="0" borderId="20" xfId="0" applyFont="1" applyFill="1" applyBorder="1" applyAlignment="1">
      <alignment horizontal="center" vertical="center"/>
    </xf>
    <xf numFmtId="49" fontId="12" fillId="0" borderId="20" xfId="0" applyNumberFormat="1" applyFont="1" applyFill="1" applyBorder="1" applyAlignment="1">
      <alignment horizontal="center" vertical="center"/>
    </xf>
    <xf numFmtId="49" fontId="12" fillId="0" borderId="20" xfId="0" applyNumberFormat="1" applyFont="1" applyFill="1" applyBorder="1" applyAlignment="1">
      <alignment horizontal="left" vertical="center" wrapText="1"/>
    </xf>
    <xf numFmtId="3" fontId="12" fillId="0" borderId="20" xfId="0" applyNumberFormat="1" applyFont="1" applyFill="1" applyBorder="1" applyAlignment="1">
      <alignment horizontal="right" vertical="center"/>
    </xf>
    <xf numFmtId="172" fontId="12" fillId="0" borderId="20" xfId="0" applyNumberFormat="1" applyFont="1" applyFill="1" applyBorder="1" applyAlignment="1">
      <alignment horizontal="right" vertical="center"/>
    </xf>
    <xf numFmtId="49" fontId="12" fillId="0" borderId="17" xfId="0" applyNumberFormat="1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center" vertical="center"/>
    </xf>
    <xf numFmtId="0" fontId="0" fillId="0" borderId="17" xfId="0" applyNumberFormat="1" applyFont="1" applyFill="1" applyBorder="1" applyAlignment="1">
      <alignment horizontal="left" vertical="center" wrapText="1"/>
    </xf>
    <xf numFmtId="3" fontId="0" fillId="0" borderId="17" xfId="0" applyNumberFormat="1" applyFont="1" applyFill="1" applyBorder="1" applyAlignment="1">
      <alignment horizontal="right" vertical="center"/>
    </xf>
    <xf numFmtId="172" fontId="0" fillId="0" borderId="17" xfId="0" applyNumberFormat="1" applyFont="1" applyFill="1" applyBorder="1" applyAlignment="1">
      <alignment horizontal="right" vertical="center"/>
    </xf>
    <xf numFmtId="49" fontId="0" fillId="0" borderId="17" xfId="0" applyNumberFormat="1" applyFont="1" applyFill="1" applyBorder="1" applyAlignment="1">
      <alignment horizontal="left" vertical="center" wrapText="1"/>
    </xf>
    <xf numFmtId="49" fontId="0" fillId="0" borderId="20" xfId="0" applyNumberFormat="1" applyFont="1" applyFill="1" applyBorder="1" applyAlignment="1">
      <alignment horizontal="left" vertical="center" wrapText="1"/>
    </xf>
    <xf numFmtId="49" fontId="0" fillId="0" borderId="2" xfId="0" applyNumberFormat="1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left" vertical="center" wrapText="1"/>
    </xf>
    <xf numFmtId="3" fontId="0" fillId="0" borderId="2" xfId="0" applyNumberFormat="1" applyFont="1" applyFill="1" applyBorder="1" applyAlignment="1">
      <alignment horizontal="right" vertical="center"/>
    </xf>
    <xf numFmtId="172" fontId="0" fillId="0" borderId="2" xfId="0" applyNumberFormat="1" applyFont="1" applyFill="1" applyBorder="1" applyAlignment="1">
      <alignment horizontal="right" vertical="center"/>
    </xf>
    <xf numFmtId="0" fontId="0" fillId="0" borderId="2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49" fontId="0" fillId="0" borderId="21" xfId="0" applyNumberFormat="1" applyFill="1" applyBorder="1" applyAlignment="1">
      <alignment horizontal="center" vertical="center"/>
    </xf>
    <xf numFmtId="49" fontId="0" fillId="0" borderId="21" xfId="0" applyNumberFormat="1" applyFill="1" applyBorder="1" applyAlignment="1">
      <alignment horizontal="left" vertical="center" wrapText="1"/>
    </xf>
    <xf numFmtId="3" fontId="0" fillId="0" borderId="21" xfId="0" applyNumberFormat="1" applyFill="1" applyBorder="1" applyAlignment="1">
      <alignment horizontal="right" vertical="center"/>
    </xf>
    <xf numFmtId="172" fontId="0" fillId="0" borderId="21" xfId="0" applyNumberFormat="1" applyFill="1" applyBorder="1" applyAlignment="1">
      <alignment horizontal="right" vertical="center"/>
    </xf>
    <xf numFmtId="49" fontId="12" fillId="0" borderId="22" xfId="0" applyNumberFormat="1" applyFont="1" applyFill="1" applyBorder="1" applyAlignment="1">
      <alignment horizontal="left" vertical="center" wrapText="1"/>
    </xf>
    <xf numFmtId="49" fontId="12" fillId="0" borderId="23" xfId="0" applyNumberFormat="1" applyFont="1" applyFill="1" applyBorder="1" applyAlignment="1">
      <alignment horizontal="center" vertical="center"/>
    </xf>
    <xf numFmtId="3" fontId="0" fillId="0" borderId="24" xfId="0" applyNumberFormat="1" applyFont="1" applyFill="1" applyBorder="1" applyAlignment="1">
      <alignment horizontal="right" vertical="center"/>
    </xf>
    <xf numFmtId="0" fontId="0" fillId="0" borderId="22" xfId="0" applyFill="1" applyBorder="1" applyAlignment="1">
      <alignment horizontal="center" vertical="center"/>
    </xf>
    <xf numFmtId="49" fontId="12" fillId="0" borderId="25" xfId="0" applyNumberFormat="1" applyFont="1" applyFill="1" applyBorder="1" applyAlignment="1">
      <alignment horizontal="center" vertical="center"/>
    </xf>
    <xf numFmtId="3" fontId="12" fillId="0" borderId="26" xfId="0" applyNumberFormat="1" applyFont="1" applyFill="1" applyBorder="1" applyAlignment="1">
      <alignment horizontal="right" vertical="center"/>
    </xf>
    <xf numFmtId="0" fontId="0" fillId="0" borderId="17" xfId="0" applyFill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172" fontId="0" fillId="0" borderId="0" xfId="0" applyNumberFormat="1" applyAlignment="1">
      <alignment vertical="center"/>
    </xf>
    <xf numFmtId="0" fontId="0" fillId="0" borderId="0" xfId="0" applyAlignment="1">
      <alignment horizontal="right" vertical="top"/>
    </xf>
    <xf numFmtId="0" fontId="2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8" fillId="0" borderId="27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top"/>
    </xf>
    <xf numFmtId="49" fontId="13" fillId="0" borderId="15" xfId="0" applyNumberFormat="1" applyFont="1" applyFill="1" applyBorder="1" applyAlignment="1">
      <alignment vertical="top" wrapText="1"/>
    </xf>
    <xf numFmtId="0" fontId="13" fillId="0" borderId="15" xfId="0" applyFont="1" applyFill="1" applyBorder="1" applyAlignment="1">
      <alignment vertical="top" wrapText="1"/>
    </xf>
    <xf numFmtId="3" fontId="13" fillId="0" borderId="16" xfId="0" applyNumberFormat="1" applyFont="1" applyFill="1" applyBorder="1" applyAlignment="1">
      <alignment vertical="top" wrapText="1"/>
    </xf>
    <xf numFmtId="172" fontId="5" fillId="0" borderId="15" xfId="0" applyNumberFormat="1" applyFont="1" applyFill="1" applyBorder="1" applyAlignment="1">
      <alignment horizontal="right" vertical="top"/>
    </xf>
    <xf numFmtId="49" fontId="10" fillId="0" borderId="29" xfId="0" applyNumberFormat="1" applyFont="1" applyFill="1" applyBorder="1" applyAlignment="1">
      <alignment vertical="top" wrapText="1"/>
    </xf>
    <xf numFmtId="0" fontId="10" fillId="0" borderId="29" xfId="0" applyFont="1" applyFill="1" applyBorder="1" applyAlignment="1">
      <alignment vertical="top" wrapText="1"/>
    </xf>
    <xf numFmtId="3" fontId="10" fillId="0" borderId="29" xfId="0" applyNumberFormat="1" applyFont="1" applyFill="1" applyBorder="1" applyAlignment="1">
      <alignment vertical="top" wrapText="1"/>
    </xf>
    <xf numFmtId="172" fontId="0" fillId="0" borderId="29" xfId="0" applyNumberFormat="1" applyFill="1" applyBorder="1" applyAlignment="1">
      <alignment horizontal="right" vertical="top"/>
    </xf>
    <xf numFmtId="49" fontId="10" fillId="0" borderId="20" xfId="0" applyNumberFormat="1" applyFont="1" applyFill="1" applyBorder="1" applyAlignment="1">
      <alignment vertical="top" wrapText="1"/>
    </xf>
    <xf numFmtId="49" fontId="21" fillId="0" borderId="2" xfId="0" applyNumberFormat="1" applyFont="1" applyFill="1" applyBorder="1" applyAlignment="1">
      <alignment horizontal="right" vertical="top" wrapText="1"/>
    </xf>
    <xf numFmtId="49" fontId="21" fillId="0" borderId="2" xfId="0" applyNumberFormat="1" applyFont="1" applyFill="1" applyBorder="1" applyAlignment="1">
      <alignment vertical="top" wrapText="1"/>
    </xf>
    <xf numFmtId="0" fontId="21" fillId="0" borderId="2" xfId="0" applyFont="1" applyFill="1" applyBorder="1" applyAlignment="1">
      <alignment vertical="top" wrapText="1"/>
    </xf>
    <xf numFmtId="3" fontId="21" fillId="0" borderId="2" xfId="0" applyNumberFormat="1" applyFont="1" applyFill="1" applyBorder="1" applyAlignment="1">
      <alignment vertical="top" wrapText="1"/>
    </xf>
    <xf numFmtId="3" fontId="21" fillId="0" borderId="24" xfId="0" applyNumberFormat="1" applyFont="1" applyFill="1" applyBorder="1" applyAlignment="1">
      <alignment vertical="top" wrapText="1"/>
    </xf>
    <xf numFmtId="172" fontId="12" fillId="0" borderId="2" xfId="0" applyNumberFormat="1" applyFont="1" applyFill="1" applyBorder="1" applyAlignment="1">
      <alignment horizontal="right" vertical="top"/>
    </xf>
    <xf numFmtId="49" fontId="10" fillId="0" borderId="2" xfId="0" applyNumberFormat="1" applyFont="1" applyFill="1" applyBorder="1" applyAlignment="1">
      <alignment vertical="top" wrapText="1"/>
    </xf>
    <xf numFmtId="0" fontId="10" fillId="0" borderId="2" xfId="0" applyFont="1" applyFill="1" applyBorder="1" applyAlignment="1">
      <alignment vertical="top" wrapText="1"/>
    </xf>
    <xf numFmtId="3" fontId="10" fillId="0" borderId="2" xfId="0" applyNumberFormat="1" applyFont="1" applyFill="1" applyBorder="1" applyAlignment="1">
      <alignment vertical="top" wrapText="1"/>
    </xf>
    <xf numFmtId="3" fontId="10" fillId="0" borderId="24" xfId="0" applyNumberFormat="1" applyFont="1" applyFill="1" applyBorder="1" applyAlignment="1">
      <alignment vertical="top" wrapText="1"/>
    </xf>
    <xf numFmtId="172" fontId="0" fillId="0" borderId="2" xfId="0" applyNumberFormat="1" applyFill="1" applyBorder="1" applyAlignment="1">
      <alignment horizontal="right" vertical="top"/>
    </xf>
    <xf numFmtId="49" fontId="10" fillId="0" borderId="21" xfId="0" applyNumberFormat="1" applyFont="1" applyFill="1" applyBorder="1" applyAlignment="1">
      <alignment vertical="top" wrapText="1"/>
    </xf>
    <xf numFmtId="49" fontId="10" fillId="0" borderId="2" xfId="0" applyNumberFormat="1" applyFont="1" applyFill="1" applyBorder="1" applyAlignment="1">
      <alignment horizontal="right" vertical="top" wrapText="1"/>
    </xf>
    <xf numFmtId="49" fontId="10" fillId="0" borderId="17" xfId="0" applyNumberFormat="1" applyFont="1" applyFill="1" applyBorder="1" applyAlignment="1">
      <alignment vertical="top" wrapText="1"/>
    </xf>
    <xf numFmtId="49" fontId="21" fillId="0" borderId="22" xfId="0" applyNumberFormat="1" applyFont="1" applyFill="1" applyBorder="1" applyAlignment="1">
      <alignment vertical="top" wrapText="1"/>
    </xf>
    <xf numFmtId="0" fontId="21" fillId="0" borderId="22" xfId="0" applyFont="1" applyFill="1" applyBorder="1" applyAlignment="1">
      <alignment vertical="top" wrapText="1"/>
    </xf>
    <xf numFmtId="3" fontId="21" fillId="0" borderId="22" xfId="0" applyNumberFormat="1" applyFont="1" applyFill="1" applyBorder="1" applyAlignment="1">
      <alignment vertical="top" wrapText="1"/>
    </xf>
    <xf numFmtId="3" fontId="21" fillId="0" borderId="26" xfId="0" applyNumberFormat="1" applyFont="1" applyFill="1" applyBorder="1" applyAlignment="1">
      <alignment vertical="top" wrapText="1"/>
    </xf>
    <xf numFmtId="172" fontId="12" fillId="0" borderId="22" xfId="0" applyNumberFormat="1" applyFont="1" applyFill="1" applyBorder="1" applyAlignment="1">
      <alignment horizontal="right" vertical="top"/>
    </xf>
    <xf numFmtId="0" fontId="10" fillId="0" borderId="20" xfId="0" applyFont="1" applyFill="1" applyBorder="1" applyAlignment="1">
      <alignment vertical="top" wrapText="1"/>
    </xf>
    <xf numFmtId="49" fontId="21" fillId="0" borderId="20" xfId="0" applyNumberFormat="1" applyFont="1" applyFill="1" applyBorder="1" applyAlignment="1">
      <alignment horizontal="right" vertical="top" wrapText="1"/>
    </xf>
    <xf numFmtId="49" fontId="21" fillId="0" borderId="20" xfId="0" applyNumberFormat="1" applyFont="1" applyFill="1" applyBorder="1" applyAlignment="1">
      <alignment vertical="top" wrapText="1"/>
    </xf>
    <xf numFmtId="0" fontId="21" fillId="0" borderId="20" xfId="0" applyFont="1" applyFill="1" applyBorder="1" applyAlignment="1">
      <alignment vertical="top" wrapText="1"/>
    </xf>
    <xf numFmtId="3" fontId="21" fillId="0" borderId="30" xfId="0" applyNumberFormat="1" applyFont="1" applyFill="1" applyBorder="1" applyAlignment="1">
      <alignment vertical="top" wrapText="1"/>
    </xf>
    <xf numFmtId="0" fontId="10" fillId="0" borderId="17" xfId="0" applyFont="1" applyFill="1" applyBorder="1" applyAlignment="1">
      <alignment vertical="top" wrapText="1"/>
    </xf>
    <xf numFmtId="3" fontId="10" fillId="0" borderId="21" xfId="0" applyNumberFormat="1" applyFont="1" applyFill="1" applyBorder="1" applyAlignment="1">
      <alignment vertical="top" wrapText="1"/>
    </xf>
    <xf numFmtId="49" fontId="13" fillId="0" borderId="20" xfId="0" applyNumberFormat="1" applyFont="1" applyFill="1" applyBorder="1" applyAlignment="1">
      <alignment vertical="top" wrapText="1"/>
    </xf>
    <xf numFmtId="172" fontId="0" fillId="0" borderId="17" xfId="0" applyNumberFormat="1" applyFill="1" applyBorder="1" applyAlignment="1">
      <alignment horizontal="right" vertical="top"/>
    </xf>
    <xf numFmtId="172" fontId="12" fillId="0" borderId="17" xfId="0" applyNumberFormat="1" applyFont="1" applyFill="1" applyBorder="1" applyAlignment="1">
      <alignment horizontal="right" vertical="top"/>
    </xf>
    <xf numFmtId="0" fontId="0" fillId="0" borderId="0" xfId="0" applyFill="1" applyAlignment="1">
      <alignment/>
    </xf>
    <xf numFmtId="3" fontId="13" fillId="0" borderId="15" xfId="0" applyNumberFormat="1" applyFont="1" applyFill="1" applyBorder="1" applyAlignment="1">
      <alignment vertical="top" wrapText="1"/>
    </xf>
    <xf numFmtId="49" fontId="13" fillId="0" borderId="29" xfId="0" applyNumberFormat="1" applyFont="1" applyFill="1" applyBorder="1" applyAlignment="1">
      <alignment vertical="top" wrapText="1"/>
    </xf>
    <xf numFmtId="3" fontId="0" fillId="0" borderId="0" xfId="0" applyNumberFormat="1" applyAlignment="1">
      <alignment/>
    </xf>
    <xf numFmtId="49" fontId="21" fillId="0" borderId="21" xfId="0" applyNumberFormat="1" applyFont="1" applyFill="1" applyBorder="1" applyAlignment="1">
      <alignment vertical="top" wrapText="1"/>
    </xf>
    <xf numFmtId="0" fontId="21" fillId="0" borderId="21" xfId="0" applyFont="1" applyFill="1" applyBorder="1" applyAlignment="1">
      <alignment vertical="top" wrapText="1"/>
    </xf>
    <xf numFmtId="3" fontId="21" fillId="0" borderId="31" xfId="0" applyNumberFormat="1" applyFont="1" applyFill="1" applyBorder="1" applyAlignment="1">
      <alignment vertical="top" wrapText="1"/>
    </xf>
    <xf numFmtId="172" fontId="12" fillId="0" borderId="21" xfId="0" applyNumberFormat="1" applyFont="1" applyFill="1" applyBorder="1" applyAlignment="1">
      <alignment horizontal="right" vertical="top"/>
    </xf>
    <xf numFmtId="49" fontId="10" fillId="0" borderId="4" xfId="0" applyNumberFormat="1" applyFont="1" applyFill="1" applyBorder="1" applyAlignment="1">
      <alignment vertical="top" wrapText="1"/>
    </xf>
    <xf numFmtId="0" fontId="10" fillId="0" borderId="4" xfId="0" applyFont="1" applyFill="1" applyBorder="1" applyAlignment="1">
      <alignment vertical="top" wrapText="1"/>
    </xf>
    <xf numFmtId="3" fontId="10" fillId="0" borderId="4" xfId="0" applyNumberFormat="1" applyFont="1" applyFill="1" applyBorder="1" applyAlignment="1">
      <alignment vertical="top" wrapText="1"/>
    </xf>
    <xf numFmtId="172" fontId="0" fillId="0" borderId="4" xfId="0" applyNumberFormat="1" applyFill="1" applyBorder="1" applyAlignment="1">
      <alignment horizontal="right" vertical="top"/>
    </xf>
    <xf numFmtId="49" fontId="21" fillId="0" borderId="21" xfId="0" applyNumberFormat="1" applyFont="1" applyFill="1" applyBorder="1" applyAlignment="1">
      <alignment horizontal="right" vertical="top" wrapText="1"/>
    </xf>
    <xf numFmtId="49" fontId="10" fillId="0" borderId="22" xfId="0" applyNumberFormat="1" applyFont="1" applyFill="1" applyBorder="1" applyAlignment="1">
      <alignment vertical="top" wrapText="1"/>
    </xf>
    <xf numFmtId="49" fontId="21" fillId="0" borderId="22" xfId="0" applyNumberFormat="1" applyFont="1" applyFill="1" applyBorder="1" applyAlignment="1">
      <alignment horizontal="right" vertical="top" wrapText="1"/>
    </xf>
    <xf numFmtId="0" fontId="0" fillId="0" borderId="23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49" fontId="21" fillId="0" borderId="17" xfId="0" applyNumberFormat="1" applyFont="1" applyFill="1" applyBorder="1" applyAlignment="1">
      <alignment vertical="top" wrapText="1"/>
    </xf>
    <xf numFmtId="0" fontId="21" fillId="0" borderId="17" xfId="0" applyFont="1" applyFill="1" applyBorder="1" applyAlignment="1">
      <alignment vertical="top" wrapText="1"/>
    </xf>
    <xf numFmtId="3" fontId="13" fillId="0" borderId="32" xfId="0" applyNumberFormat="1" applyFont="1" applyFill="1" applyBorder="1" applyAlignment="1">
      <alignment vertical="top" wrapText="1"/>
    </xf>
    <xf numFmtId="172" fontId="5" fillId="0" borderId="33" xfId="0" applyNumberFormat="1" applyFont="1" applyFill="1" applyBorder="1" applyAlignment="1">
      <alignment horizontal="right" vertical="top"/>
    </xf>
    <xf numFmtId="3" fontId="0" fillId="0" borderId="2" xfId="0" applyNumberFormat="1" applyBorder="1" applyAlignment="1">
      <alignment vertical="center"/>
    </xf>
    <xf numFmtId="3" fontId="0" fillId="0" borderId="4" xfId="0" applyNumberFormat="1" applyBorder="1" applyAlignment="1">
      <alignment vertical="center"/>
    </xf>
    <xf numFmtId="3" fontId="19" fillId="0" borderId="0" xfId="0" applyNumberFormat="1" applyFont="1" applyAlignment="1">
      <alignment horizontal="right"/>
    </xf>
    <xf numFmtId="0" fontId="0" fillId="0" borderId="2" xfId="0" applyBorder="1" applyAlignment="1">
      <alignment horizontal="left" vertical="center" wrapText="1" indent="2"/>
    </xf>
    <xf numFmtId="3" fontId="0" fillId="0" borderId="4" xfId="0" applyNumberFormat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3" fontId="5" fillId="0" borderId="4" xfId="0" applyNumberFormat="1" applyFont="1" applyBorder="1" applyAlignment="1">
      <alignment vertical="center"/>
    </xf>
    <xf numFmtId="3" fontId="0" fillId="0" borderId="2" xfId="0" applyNumberFormat="1" applyFill="1" applyBorder="1" applyAlignment="1">
      <alignment vertical="center"/>
    </xf>
    <xf numFmtId="3" fontId="0" fillId="0" borderId="3" xfId="0" applyNumberForma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right"/>
    </xf>
    <xf numFmtId="3" fontId="6" fillId="0" borderId="0" xfId="0" applyNumberFormat="1" applyFont="1" applyBorder="1" applyAlignment="1">
      <alignment horizontal="center" vertical="center" wrapText="1"/>
    </xf>
    <xf numFmtId="3" fontId="6" fillId="0" borderId="34" xfId="0" applyNumberFormat="1" applyFont="1" applyBorder="1" applyAlignment="1">
      <alignment horizontal="center" vertical="center" wrapText="1"/>
    </xf>
    <xf numFmtId="3" fontId="8" fillId="0" borderId="0" xfId="0" applyNumberFormat="1" applyFont="1" applyAlignment="1">
      <alignment horizontal="center"/>
    </xf>
    <xf numFmtId="3" fontId="10" fillId="0" borderId="2" xfId="0" applyNumberFormat="1" applyFont="1" applyBorder="1" applyAlignment="1">
      <alignment vertical="top" wrapText="1"/>
    </xf>
    <xf numFmtId="0" fontId="30" fillId="0" borderId="0" xfId="0" applyFont="1" applyAlignment="1">
      <alignment/>
    </xf>
    <xf numFmtId="3" fontId="0" fillId="0" borderId="2" xfId="0" applyNumberFormat="1" applyFont="1" applyBorder="1" applyAlignment="1">
      <alignment vertical="center"/>
    </xf>
    <xf numFmtId="3" fontId="0" fillId="0" borderId="3" xfId="0" applyNumberFormat="1" applyFont="1" applyBorder="1" applyAlignment="1">
      <alignment vertical="center"/>
    </xf>
    <xf numFmtId="49" fontId="13" fillId="0" borderId="15" xfId="0" applyNumberFormat="1" applyFont="1" applyBorder="1" applyAlignment="1">
      <alignment vertical="top" wrapText="1"/>
    </xf>
    <xf numFmtId="49" fontId="10" fillId="0" borderId="20" xfId="0" applyNumberFormat="1" applyFont="1" applyBorder="1" applyAlignment="1">
      <alignment vertical="top" wrapText="1"/>
    </xf>
    <xf numFmtId="49" fontId="10" fillId="2" borderId="20" xfId="0" applyNumberFormat="1" applyFont="1" applyFill="1" applyBorder="1" applyAlignment="1">
      <alignment vertical="top" wrapText="1"/>
    </xf>
    <xf numFmtId="49" fontId="30" fillId="0" borderId="15" xfId="0" applyNumberFormat="1" applyFont="1" applyBorder="1" applyAlignment="1">
      <alignment vertical="top" wrapText="1"/>
    </xf>
    <xf numFmtId="0" fontId="30" fillId="0" borderId="15" xfId="0" applyFont="1" applyBorder="1" applyAlignment="1">
      <alignment vertical="top" wrapText="1"/>
    </xf>
    <xf numFmtId="3" fontId="10" fillId="0" borderId="20" xfId="0" applyNumberFormat="1" applyFont="1" applyBorder="1" applyAlignment="1">
      <alignment vertical="top" wrapText="1"/>
    </xf>
    <xf numFmtId="3" fontId="30" fillId="0" borderId="15" xfId="0" applyNumberFormat="1" applyFont="1" applyBorder="1" applyAlignment="1">
      <alignment vertical="top" wrapText="1"/>
    </xf>
    <xf numFmtId="0" fontId="10" fillId="2" borderId="0" xfId="0" applyFont="1" applyFill="1" applyAlignment="1">
      <alignment/>
    </xf>
    <xf numFmtId="49" fontId="10" fillId="0" borderId="20" xfId="0" applyNumberFormat="1" applyFont="1" applyBorder="1" applyAlignment="1">
      <alignment horizontal="center" vertical="top" wrapText="1"/>
    </xf>
    <xf numFmtId="49" fontId="13" fillId="0" borderId="15" xfId="0" applyNumberFormat="1" applyFont="1" applyBorder="1" applyAlignment="1">
      <alignment horizontal="center" vertical="top" wrapText="1"/>
    </xf>
    <xf numFmtId="3" fontId="13" fillId="0" borderId="15" xfId="0" applyNumberFormat="1" applyFont="1" applyBorder="1" applyAlignment="1">
      <alignment vertical="top" wrapText="1"/>
    </xf>
    <xf numFmtId="49" fontId="10" fillId="2" borderId="17" xfId="0" applyNumberFormat="1" applyFont="1" applyFill="1" applyBorder="1" applyAlignment="1">
      <alignment vertical="top" wrapText="1"/>
    </xf>
    <xf numFmtId="3" fontId="0" fillId="0" borderId="17" xfId="0" applyNumberFormat="1" applyBorder="1" applyAlignment="1">
      <alignment vertical="center"/>
    </xf>
    <xf numFmtId="0" fontId="0" fillId="0" borderId="17" xfId="0" applyBorder="1" applyAlignment="1">
      <alignment vertical="center"/>
    </xf>
    <xf numFmtId="3" fontId="0" fillId="0" borderId="17" xfId="0" applyNumberFormat="1" applyFill="1" applyBorder="1" applyAlignment="1">
      <alignment vertical="center"/>
    </xf>
    <xf numFmtId="0" fontId="17" fillId="0" borderId="17" xfId="0" applyFont="1" applyBorder="1" applyAlignment="1">
      <alignment horizontal="center" vertical="center" wrapText="1"/>
    </xf>
    <xf numFmtId="3" fontId="17" fillId="0" borderId="17" xfId="0" applyNumberFormat="1" applyFont="1" applyBorder="1" applyAlignment="1">
      <alignment horizontal="center" vertical="center" wrapText="1"/>
    </xf>
    <xf numFmtId="3" fontId="18" fillId="0" borderId="17" xfId="0" applyNumberFormat="1" applyFont="1" applyBorder="1" applyAlignment="1">
      <alignment horizontal="center" vertical="center" wrapText="1"/>
    </xf>
    <xf numFmtId="3" fontId="30" fillId="0" borderId="0" xfId="0" applyNumberFormat="1" applyFont="1" applyAlignment="1">
      <alignment/>
    </xf>
    <xf numFmtId="3" fontId="31" fillId="0" borderId="0" xfId="0" applyNumberFormat="1" applyFont="1" applyAlignment="1">
      <alignment/>
    </xf>
    <xf numFmtId="3" fontId="31" fillId="2" borderId="0" xfId="0" applyNumberFormat="1" applyFont="1" applyFill="1" applyAlignment="1">
      <alignment/>
    </xf>
    <xf numFmtId="3" fontId="30" fillId="2" borderId="0" xfId="0" applyNumberFormat="1" applyFont="1" applyFill="1" applyAlignment="1">
      <alignment/>
    </xf>
    <xf numFmtId="3" fontId="0" fillId="0" borderId="21" xfId="0" applyNumberFormat="1" applyBorder="1" applyAlignment="1">
      <alignment vertical="center"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wrapText="1"/>
    </xf>
    <xf numFmtId="3" fontId="1" fillId="0" borderId="9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1" fillId="0" borderId="0" xfId="0" applyFont="1" applyAlignment="1">
      <alignment/>
    </xf>
    <xf numFmtId="3" fontId="1" fillId="2" borderId="0" xfId="0" applyNumberFormat="1" applyFont="1" applyFill="1" applyBorder="1" applyAlignment="1">
      <alignment/>
    </xf>
    <xf numFmtId="0" fontId="1" fillId="2" borderId="0" xfId="0" applyFont="1" applyFill="1" applyAlignment="1">
      <alignment/>
    </xf>
    <xf numFmtId="0" fontId="0" fillId="0" borderId="20" xfId="0" applyBorder="1" applyAlignment="1">
      <alignment vertical="center"/>
    </xf>
    <xf numFmtId="3" fontId="0" fillId="0" borderId="0" xfId="0" applyNumberFormat="1" applyAlignment="1">
      <alignment horizontal="left" vertical="center"/>
    </xf>
    <xf numFmtId="3" fontId="7" fillId="0" borderId="0" xfId="0" applyNumberFormat="1" applyFont="1" applyAlignment="1">
      <alignment horizontal="left" vertical="center"/>
    </xf>
    <xf numFmtId="0" fontId="0" fillId="0" borderId="35" xfId="0" applyFont="1" applyBorder="1" applyAlignment="1">
      <alignment horizontal="center" vertical="center"/>
    </xf>
    <xf numFmtId="3" fontId="0" fillId="0" borderId="36" xfId="0" applyNumberFormat="1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3" fontId="6" fillId="0" borderId="33" xfId="0" applyNumberFormat="1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3" fontId="0" fillId="0" borderId="40" xfId="0" applyNumberFormat="1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3" fontId="1" fillId="0" borderId="42" xfId="0" applyNumberFormat="1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3" fontId="12" fillId="0" borderId="44" xfId="0" applyNumberFormat="1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3" fontId="12" fillId="0" borderId="42" xfId="0" applyNumberFormat="1" applyFont="1" applyBorder="1" applyAlignment="1">
      <alignment horizontal="center" vertical="center"/>
    </xf>
    <xf numFmtId="3" fontId="0" fillId="0" borderId="44" xfId="0" applyNumberFormat="1" applyFont="1" applyBorder="1" applyAlignment="1">
      <alignment horizontal="center" vertical="center"/>
    </xf>
    <xf numFmtId="0" fontId="33" fillId="0" borderId="31" xfId="0" applyFont="1" applyBorder="1" applyAlignment="1">
      <alignment horizontal="left" vertical="center" wrapText="1"/>
    </xf>
    <xf numFmtId="3" fontId="33" fillId="0" borderId="45" xfId="0" applyNumberFormat="1" applyFont="1" applyBorder="1" applyAlignment="1">
      <alignment horizontal="center" vertical="center"/>
    </xf>
    <xf numFmtId="0" fontId="33" fillId="0" borderId="18" xfId="0" applyFont="1" applyBorder="1" applyAlignment="1">
      <alignment horizontal="left" vertical="center" wrapText="1"/>
    </xf>
    <xf numFmtId="3" fontId="33" fillId="0" borderId="46" xfId="0" applyNumberFormat="1" applyFont="1" applyBorder="1" applyAlignment="1">
      <alignment horizontal="center" vertical="center"/>
    </xf>
    <xf numFmtId="0" fontId="33" fillId="0" borderId="30" xfId="0" applyFont="1" applyBorder="1" applyAlignment="1">
      <alignment horizontal="left" vertical="center" wrapText="1"/>
    </xf>
    <xf numFmtId="3" fontId="33" fillId="0" borderId="47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left" vertical="center" wrapText="1"/>
    </xf>
    <xf numFmtId="3" fontId="0" fillId="0" borderId="48" xfId="0" applyNumberFormat="1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3" fontId="1" fillId="0" borderId="40" xfId="0" applyNumberFormat="1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1" fillId="0" borderId="41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3" fontId="1" fillId="0" borderId="53" xfId="0" applyNumberFormat="1" applyFont="1" applyBorder="1" applyAlignment="1">
      <alignment vertical="center"/>
    </xf>
    <xf numFmtId="3" fontId="6" fillId="0" borderId="54" xfId="0" applyNumberFormat="1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3" fontId="5" fillId="0" borderId="15" xfId="0" applyNumberFormat="1" applyFont="1" applyBorder="1" applyAlignment="1">
      <alignment vertical="center"/>
    </xf>
    <xf numFmtId="0" fontId="1" fillId="0" borderId="9" xfId="0" applyNumberFormat="1" applyFont="1" applyFill="1" applyBorder="1" applyAlignment="1" applyProtection="1">
      <alignment wrapText="1"/>
      <protection locked="0"/>
    </xf>
    <xf numFmtId="0" fontId="31" fillId="0" borderId="0" xfId="0" applyFont="1" applyAlignment="1">
      <alignment/>
    </xf>
    <xf numFmtId="0" fontId="0" fillId="0" borderId="21" xfId="0" applyFont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vertical="center" wrapText="1"/>
    </xf>
    <xf numFmtId="3" fontId="0" fillId="2" borderId="2" xfId="0" applyNumberFormat="1" applyFont="1" applyFill="1" applyBorder="1" applyAlignment="1">
      <alignment vertical="center"/>
    </xf>
    <xf numFmtId="0" fontId="0" fillId="2" borderId="0" xfId="0" applyFill="1" applyAlignment="1">
      <alignment vertical="center"/>
    </xf>
    <xf numFmtId="3" fontId="0" fillId="2" borderId="2" xfId="0" applyNumberFormat="1" applyFont="1" applyFill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3" fontId="6" fillId="0" borderId="38" xfId="0" applyNumberFormat="1" applyFont="1" applyBorder="1" applyAlignment="1">
      <alignment vertical="center"/>
    </xf>
    <xf numFmtId="3" fontId="6" fillId="0" borderId="33" xfId="0" applyNumberFormat="1" applyFont="1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3" fontId="0" fillId="0" borderId="21" xfId="0" applyNumberFormat="1" applyFont="1" applyBorder="1" applyAlignment="1">
      <alignment horizontal="right" vertical="center"/>
    </xf>
    <xf numFmtId="0" fontId="6" fillId="0" borderId="55" xfId="0" applyFont="1" applyBorder="1" applyAlignment="1">
      <alignment horizontal="center" vertical="center"/>
    </xf>
    <xf numFmtId="0" fontId="0" fillId="0" borderId="0" xfId="18" applyFont="1" applyAlignment="1">
      <alignment horizontal="center"/>
      <protection/>
    </xf>
    <xf numFmtId="0" fontId="8" fillId="0" borderId="0" xfId="0" applyFont="1" applyAlignment="1">
      <alignment horizontal="left" wrapText="1"/>
    </xf>
    <xf numFmtId="0" fontId="0" fillId="0" borderId="0" xfId="18">
      <alignment/>
      <protection/>
    </xf>
    <xf numFmtId="0" fontId="36" fillId="0" borderId="0" xfId="18" applyFont="1" applyBorder="1" applyAlignment="1">
      <alignment horizontal="center" vertical="center" wrapText="1"/>
      <protection/>
    </xf>
    <xf numFmtId="0" fontId="6" fillId="0" borderId="0" xfId="18" applyFont="1" applyBorder="1" applyAlignment="1">
      <alignment horizontal="center" vertical="center" wrapText="1"/>
      <protection/>
    </xf>
    <xf numFmtId="0" fontId="6" fillId="0" borderId="56" xfId="18" applyFont="1" applyBorder="1" applyAlignment="1">
      <alignment horizontal="center" vertical="center" wrapText="1"/>
      <protection/>
    </xf>
    <xf numFmtId="0" fontId="37" fillId="0" borderId="0" xfId="18" applyFont="1" applyBorder="1" applyAlignment="1">
      <alignment horizontal="center" vertical="center" wrapText="1"/>
      <protection/>
    </xf>
    <xf numFmtId="0" fontId="6" fillId="0" borderId="57" xfId="18" applyFont="1" applyBorder="1" applyAlignment="1">
      <alignment horizontal="center"/>
      <protection/>
    </xf>
    <xf numFmtId="0" fontId="25" fillId="0" borderId="57" xfId="18" applyFont="1" applyBorder="1" applyAlignment="1">
      <alignment horizontal="center"/>
      <protection/>
    </xf>
    <xf numFmtId="0" fontId="0" fillId="0" borderId="58" xfId="18" applyFont="1" applyBorder="1" applyAlignment="1">
      <alignment horizontal="center"/>
      <protection/>
    </xf>
    <xf numFmtId="0" fontId="0" fillId="0" borderId="58" xfId="18" applyBorder="1">
      <alignment/>
      <protection/>
    </xf>
    <xf numFmtId="0" fontId="4" fillId="0" borderId="54" xfId="18" applyFont="1" applyBorder="1" applyAlignment="1">
      <alignment horizontal="center" vertical="center"/>
      <protection/>
    </xf>
    <xf numFmtId="0" fontId="7" fillId="3" borderId="59" xfId="18" applyFont="1" applyFill="1" applyBorder="1" applyAlignment="1">
      <alignment horizontal="center" vertical="center"/>
      <protection/>
    </xf>
    <xf numFmtId="3" fontId="9" fillId="3" borderId="54" xfId="18" applyNumberFormat="1" applyFont="1" applyFill="1" applyBorder="1" applyAlignment="1">
      <alignment vertical="center"/>
      <protection/>
    </xf>
    <xf numFmtId="0" fontId="38" fillId="0" borderId="0" xfId="18" applyFont="1">
      <alignment/>
      <protection/>
    </xf>
    <xf numFmtId="0" fontId="7" fillId="0" borderId="60" xfId="18" applyFont="1" applyBorder="1" applyAlignment="1">
      <alignment horizontal="center" vertical="center"/>
      <protection/>
    </xf>
    <xf numFmtId="3" fontId="7" fillId="0" borderId="52" xfId="18" applyNumberFormat="1" applyFont="1" applyBorder="1" applyAlignment="1">
      <alignment vertical="center"/>
      <protection/>
    </xf>
    <xf numFmtId="3" fontId="7" fillId="0" borderId="34" xfId="18" applyNumberFormat="1" applyFont="1" applyBorder="1" applyAlignment="1">
      <alignment vertical="center"/>
      <protection/>
    </xf>
    <xf numFmtId="0" fontId="7" fillId="0" borderId="61" xfId="18" applyFont="1" applyBorder="1" applyAlignment="1">
      <alignment horizontal="center" vertical="center"/>
      <protection/>
    </xf>
    <xf numFmtId="3" fontId="39" fillId="0" borderId="62" xfId="0" applyNumberFormat="1" applyFont="1" applyBorder="1" applyAlignment="1">
      <alignment vertical="center"/>
    </xf>
    <xf numFmtId="3" fontId="7" fillId="0" borderId="63" xfId="18" applyNumberFormat="1" applyFont="1" applyBorder="1" applyAlignment="1">
      <alignment vertical="center"/>
      <protection/>
    </xf>
    <xf numFmtId="3" fontId="7" fillId="0" borderId="62" xfId="18" applyNumberFormat="1" applyFont="1" applyBorder="1" applyAlignment="1">
      <alignment vertical="center"/>
      <protection/>
    </xf>
    <xf numFmtId="0" fontId="7" fillId="0" borderId="64" xfId="18" applyFont="1" applyBorder="1" applyAlignment="1">
      <alignment horizontal="center" vertical="center"/>
      <protection/>
    </xf>
    <xf numFmtId="3" fontId="39" fillId="0" borderId="52" xfId="0" applyNumberFormat="1" applyFont="1" applyBorder="1" applyAlignment="1">
      <alignment vertical="center"/>
    </xf>
    <xf numFmtId="0" fontId="7" fillId="0" borderId="0" xfId="18" applyFont="1">
      <alignment/>
      <protection/>
    </xf>
    <xf numFmtId="0" fontId="7" fillId="0" borderId="59" xfId="18" applyFont="1" applyBorder="1" applyAlignment="1">
      <alignment horizontal="center" vertical="center"/>
      <protection/>
    </xf>
    <xf numFmtId="3" fontId="9" fillId="0" borderId="54" xfId="18" applyNumberFormat="1" applyFont="1" applyBorder="1" applyAlignment="1">
      <alignment vertical="center"/>
      <protection/>
    </xf>
    <xf numFmtId="3" fontId="9" fillId="0" borderId="54" xfId="0" applyNumberFormat="1" applyFont="1" applyBorder="1" applyAlignment="1">
      <alignment vertical="center"/>
    </xf>
    <xf numFmtId="3" fontId="9" fillId="3" borderId="54" xfId="18" applyNumberFormat="1" applyFont="1" applyFill="1" applyBorder="1" applyAlignment="1">
      <alignment vertical="center" wrapText="1"/>
      <protection/>
    </xf>
    <xf numFmtId="3" fontId="39" fillId="0" borderId="65" xfId="0" applyNumberFormat="1" applyFont="1" applyBorder="1" applyAlignment="1">
      <alignment vertical="center"/>
    </xf>
    <xf numFmtId="3" fontId="7" fillId="0" borderId="66" xfId="18" applyNumberFormat="1" applyFont="1" applyBorder="1" applyAlignment="1">
      <alignment vertical="center"/>
      <protection/>
    </xf>
    <xf numFmtId="3" fontId="7" fillId="0" borderId="65" xfId="18" applyNumberFormat="1" applyFont="1" applyBorder="1" applyAlignment="1">
      <alignment vertical="center"/>
      <protection/>
    </xf>
    <xf numFmtId="3" fontId="7" fillId="0" borderId="65" xfId="0" applyNumberFormat="1" applyFont="1" applyBorder="1" applyAlignment="1">
      <alignment vertical="center"/>
    </xf>
    <xf numFmtId="3" fontId="7" fillId="0" borderId="62" xfId="0" applyNumberFormat="1" applyFont="1" applyBorder="1" applyAlignment="1">
      <alignment vertical="center"/>
    </xf>
    <xf numFmtId="0" fontId="7" fillId="0" borderId="67" xfId="18" applyFont="1" applyBorder="1" applyAlignment="1">
      <alignment horizontal="center" vertical="center"/>
      <protection/>
    </xf>
    <xf numFmtId="0" fontId="0" fillId="0" borderId="68" xfId="18" applyFont="1" applyBorder="1" applyAlignment="1">
      <alignment vertical="center" wrapText="1"/>
      <protection/>
    </xf>
    <xf numFmtId="0" fontId="7" fillId="0" borderId="69" xfId="18" applyFont="1" applyBorder="1" applyAlignment="1">
      <alignment horizontal="center" vertical="center"/>
      <protection/>
    </xf>
    <xf numFmtId="3" fontId="7" fillId="0" borderId="58" xfId="18" applyNumberFormat="1" applyFont="1" applyBorder="1" applyAlignment="1">
      <alignment vertical="center"/>
      <protection/>
    </xf>
    <xf numFmtId="3" fontId="7" fillId="0" borderId="56" xfId="18" applyNumberFormat="1" applyFont="1" applyBorder="1" applyAlignment="1">
      <alignment vertical="center"/>
      <protection/>
    </xf>
    <xf numFmtId="3" fontId="7" fillId="0" borderId="65" xfId="18" applyNumberFormat="1" applyFont="1" applyFill="1" applyBorder="1" applyAlignment="1">
      <alignment vertical="center"/>
      <protection/>
    </xf>
    <xf numFmtId="3" fontId="7" fillId="0" borderId="66" xfId="18" applyNumberFormat="1" applyFont="1" applyBorder="1" applyAlignment="1">
      <alignment/>
      <protection/>
    </xf>
    <xf numFmtId="3" fontId="7" fillId="0" borderId="65" xfId="18" applyNumberFormat="1" applyFont="1" applyBorder="1" applyAlignment="1">
      <alignment/>
      <protection/>
    </xf>
    <xf numFmtId="3" fontId="7" fillId="0" borderId="62" xfId="18" applyNumberFormat="1" applyFont="1" applyFill="1" applyBorder="1" applyAlignment="1">
      <alignment vertical="center"/>
      <protection/>
    </xf>
    <xf numFmtId="3" fontId="7" fillId="0" borderId="63" xfId="18" applyNumberFormat="1" applyFont="1" applyBorder="1" applyAlignment="1">
      <alignment/>
      <protection/>
    </xf>
    <xf numFmtId="3" fontId="7" fillId="0" borderId="62" xfId="18" applyNumberFormat="1" applyFont="1" applyBorder="1" applyAlignment="1">
      <alignment/>
      <protection/>
    </xf>
    <xf numFmtId="2" fontId="9" fillId="3" borderId="54" xfId="18" applyNumberFormat="1" applyFont="1" applyFill="1" applyBorder="1" applyAlignment="1">
      <alignment horizontal="center" vertical="center"/>
      <protection/>
    </xf>
    <xf numFmtId="0" fontId="7" fillId="0" borderId="59" xfId="18" applyFont="1" applyFill="1" applyBorder="1" applyAlignment="1">
      <alignment horizontal="center" vertical="center"/>
      <protection/>
    </xf>
    <xf numFmtId="2" fontId="9" fillId="0" borderId="54" xfId="18" applyNumberFormat="1" applyFont="1" applyFill="1" applyBorder="1" applyAlignment="1">
      <alignment horizontal="center" vertical="center"/>
      <protection/>
    </xf>
    <xf numFmtId="3" fontId="7" fillId="0" borderId="66" xfId="18" applyNumberFormat="1" applyFont="1" applyFill="1" applyBorder="1" applyAlignment="1">
      <alignment vertical="center"/>
      <protection/>
    </xf>
    <xf numFmtId="3" fontId="7" fillId="0" borderId="63" xfId="18" applyNumberFormat="1" applyFont="1" applyFill="1" applyBorder="1" applyAlignment="1">
      <alignment vertical="center"/>
      <protection/>
    </xf>
    <xf numFmtId="0" fontId="0" fillId="0" borderId="14" xfId="18" applyFont="1" applyFill="1" applyBorder="1" applyAlignment="1">
      <alignment vertical="center" wrapText="1"/>
      <protection/>
    </xf>
    <xf numFmtId="3" fontId="7" fillId="0" borderId="53" xfId="18" applyNumberFormat="1" applyFont="1" applyFill="1" applyBorder="1" applyAlignment="1">
      <alignment vertical="center"/>
      <protection/>
    </xf>
    <xf numFmtId="3" fontId="7" fillId="0" borderId="0" xfId="18" applyNumberFormat="1" applyFont="1" applyFill="1" applyBorder="1" applyAlignment="1">
      <alignment vertical="center"/>
      <protection/>
    </xf>
    <xf numFmtId="0" fontId="44" fillId="0" borderId="0" xfId="18" applyFont="1" applyAlignment="1">
      <alignment horizontal="left" wrapText="1"/>
      <protection/>
    </xf>
    <xf numFmtId="1" fontId="6" fillId="0" borderId="70" xfId="0" applyNumberFormat="1" applyFont="1" applyFill="1" applyBorder="1" applyAlignment="1">
      <alignment horizontal="center" vertical="center"/>
    </xf>
    <xf numFmtId="1" fontId="6" fillId="0" borderId="49" xfId="0" applyNumberFormat="1" applyFont="1" applyBorder="1" applyAlignment="1">
      <alignment horizontal="center" vertical="center"/>
    </xf>
    <xf numFmtId="1" fontId="6" fillId="0" borderId="67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/>
    </xf>
    <xf numFmtId="0" fontId="0" fillId="0" borderId="67" xfId="0" applyBorder="1" applyAlignment="1">
      <alignment horizontal="right"/>
    </xf>
    <xf numFmtId="0" fontId="0" fillId="0" borderId="71" xfId="0" applyBorder="1" applyAlignment="1">
      <alignment horizontal="right"/>
    </xf>
    <xf numFmtId="0" fontId="6" fillId="0" borderId="70" xfId="0" applyFont="1" applyFill="1" applyBorder="1" applyAlignment="1">
      <alignment horizontal="center"/>
    </xf>
    <xf numFmtId="0" fontId="0" fillId="0" borderId="49" xfId="0" applyBorder="1" applyAlignment="1">
      <alignment horizontal="right"/>
    </xf>
    <xf numFmtId="1" fontId="7" fillId="0" borderId="49" xfId="0" applyNumberFormat="1" applyFont="1" applyBorder="1" applyAlignment="1">
      <alignment horizontal="right" vertical="center"/>
    </xf>
    <xf numFmtId="1" fontId="7" fillId="0" borderId="67" xfId="0" applyNumberFormat="1" applyFont="1" applyBorder="1" applyAlignment="1">
      <alignment horizontal="right" vertical="center"/>
    </xf>
    <xf numFmtId="1" fontId="7" fillId="0" borderId="71" xfId="0" applyNumberFormat="1" applyFont="1" applyBorder="1" applyAlignment="1">
      <alignment horizontal="right" vertical="center"/>
    </xf>
    <xf numFmtId="0" fontId="0" fillId="0" borderId="0" xfId="0" applyFont="1" applyFill="1" applyAlignment="1">
      <alignment/>
    </xf>
    <xf numFmtId="0" fontId="6" fillId="0" borderId="70" xfId="0" applyFont="1" applyBorder="1" applyAlignment="1">
      <alignment horizontal="center"/>
    </xf>
    <xf numFmtId="0" fontId="7" fillId="0" borderId="49" xfId="0" applyFont="1" applyFill="1" applyBorder="1" applyAlignment="1">
      <alignment horizontal="right"/>
    </xf>
    <xf numFmtId="0" fontId="7" fillId="0" borderId="71" xfId="0" applyFont="1" applyBorder="1" applyAlignment="1">
      <alignment/>
    </xf>
    <xf numFmtId="1" fontId="6" fillId="0" borderId="70" xfId="0" applyNumberFormat="1" applyFont="1" applyBorder="1" applyAlignment="1">
      <alignment horizontal="center" vertical="center"/>
    </xf>
    <xf numFmtId="0" fontId="7" fillId="0" borderId="49" xfId="0" applyFont="1" applyFill="1" applyBorder="1" applyAlignment="1">
      <alignment horizontal="right"/>
    </xf>
    <xf numFmtId="0" fontId="7" fillId="0" borderId="67" xfId="0" applyFont="1" applyBorder="1" applyAlignment="1">
      <alignment horizontal="right"/>
    </xf>
    <xf numFmtId="0" fontId="6" fillId="0" borderId="37" xfId="0" applyFont="1" applyFill="1" applyBorder="1" applyAlignment="1">
      <alignment horizontal="center" vertical="center"/>
    </xf>
    <xf numFmtId="175" fontId="0" fillId="0" borderId="0" xfId="0" applyNumberFormat="1" applyFill="1" applyAlignment="1">
      <alignment/>
    </xf>
    <xf numFmtId="0" fontId="1" fillId="0" borderId="0" xfId="0" applyFont="1" applyFill="1" applyAlignment="1">
      <alignment/>
    </xf>
    <xf numFmtId="0" fontId="23" fillId="0" borderId="6" xfId="0" applyNumberFormat="1" applyFont="1" applyFill="1" applyBorder="1" applyAlignment="1">
      <alignment horizontal="center" vertical="center"/>
    </xf>
    <xf numFmtId="0" fontId="1" fillId="0" borderId="8" xfId="0" applyNumberFormat="1" applyFont="1" applyFill="1" applyBorder="1" applyAlignment="1">
      <alignment horizontal="center" vertical="center"/>
    </xf>
    <xf numFmtId="0" fontId="1" fillId="0" borderId="8" xfId="0" applyNumberFormat="1" applyFont="1" applyFill="1" applyBorder="1" applyAlignment="1">
      <alignment wrapText="1"/>
    </xf>
    <xf numFmtId="49" fontId="32" fillId="0" borderId="5" xfId="0" applyNumberFormat="1" applyFont="1" applyFill="1" applyBorder="1" applyAlignment="1">
      <alignment vertical="top" wrapText="1"/>
    </xf>
    <xf numFmtId="0" fontId="32" fillId="0" borderId="5" xfId="0" applyFont="1" applyFill="1" applyBorder="1" applyAlignment="1">
      <alignment vertical="top" wrapText="1"/>
    </xf>
    <xf numFmtId="3" fontId="32" fillId="0" borderId="5" xfId="0" applyNumberFormat="1" applyFont="1" applyFill="1" applyBorder="1" applyAlignment="1">
      <alignment vertical="top" wrapText="1"/>
    </xf>
    <xf numFmtId="0" fontId="10" fillId="0" borderId="0" xfId="0" applyFont="1" applyFill="1" applyAlignment="1">
      <alignment/>
    </xf>
    <xf numFmtId="49" fontId="10" fillId="0" borderId="72" xfId="0" applyNumberFormat="1" applyFont="1" applyFill="1" applyBorder="1" applyAlignment="1">
      <alignment vertical="top" wrapText="1"/>
    </xf>
    <xf numFmtId="3" fontId="10" fillId="0" borderId="0" xfId="0" applyNumberFormat="1" applyFont="1" applyFill="1" applyAlignment="1">
      <alignment/>
    </xf>
    <xf numFmtId="0" fontId="0" fillId="0" borderId="9" xfId="0" applyNumberFormat="1" applyFont="1" applyFill="1" applyBorder="1" applyAlignment="1">
      <alignment wrapText="1"/>
    </xf>
    <xf numFmtId="172" fontId="0" fillId="0" borderId="20" xfId="0" applyNumberFormat="1" applyFill="1" applyBorder="1" applyAlignment="1">
      <alignment horizontal="center" vertical="center"/>
    </xf>
    <xf numFmtId="49" fontId="0" fillId="0" borderId="73" xfId="0" applyNumberFormat="1" applyFont="1" applyFill="1" applyBorder="1" applyAlignment="1">
      <alignment horizontal="center" vertical="center"/>
    </xf>
    <xf numFmtId="0" fontId="0" fillId="0" borderId="74" xfId="0" applyNumberFormat="1" applyFont="1" applyFill="1" applyBorder="1" applyAlignment="1">
      <alignment wrapText="1"/>
    </xf>
    <xf numFmtId="3" fontId="0" fillId="0" borderId="75" xfId="0" applyNumberFormat="1" applyFont="1" applyFill="1" applyBorder="1" applyAlignment="1">
      <alignment horizontal="right" vertical="center"/>
    </xf>
    <xf numFmtId="172" fontId="0" fillId="0" borderId="73" xfId="0" applyNumberFormat="1" applyFont="1" applyFill="1" applyBorder="1" applyAlignment="1">
      <alignment horizontal="center" vertical="center"/>
    </xf>
    <xf numFmtId="172" fontId="0" fillId="0" borderId="20" xfId="0" applyNumberFormat="1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/>
    </xf>
    <xf numFmtId="49" fontId="12" fillId="2" borderId="20" xfId="0" applyNumberFormat="1" applyFont="1" applyFill="1" applyBorder="1" applyAlignment="1">
      <alignment horizontal="center" vertical="center"/>
    </xf>
    <xf numFmtId="49" fontId="12" fillId="2" borderId="20" xfId="0" applyNumberFormat="1" applyFont="1" applyFill="1" applyBorder="1" applyAlignment="1">
      <alignment horizontal="left" vertical="center" wrapText="1"/>
    </xf>
    <xf numFmtId="3" fontId="12" fillId="2" borderId="20" xfId="0" applyNumberFormat="1" applyFont="1" applyFill="1" applyBorder="1" applyAlignment="1">
      <alignment horizontal="right" vertical="center"/>
    </xf>
    <xf numFmtId="172" fontId="12" fillId="2" borderId="20" xfId="0" applyNumberFormat="1" applyFont="1" applyFill="1" applyBorder="1" applyAlignment="1">
      <alignment horizontal="right" vertical="center"/>
    </xf>
    <xf numFmtId="0" fontId="12" fillId="2" borderId="0" xfId="0" applyFont="1" applyFill="1" applyBorder="1" applyAlignment="1">
      <alignment/>
    </xf>
    <xf numFmtId="0" fontId="12" fillId="2" borderId="17" xfId="0" applyFont="1" applyFill="1" applyBorder="1" applyAlignment="1">
      <alignment horizontal="center" vertical="center"/>
    </xf>
    <xf numFmtId="49" fontId="12" fillId="2" borderId="17" xfId="0" applyNumberFormat="1" applyFont="1" applyFill="1" applyBorder="1" applyAlignment="1">
      <alignment horizontal="center" vertical="center"/>
    </xf>
    <xf numFmtId="49" fontId="12" fillId="2" borderId="17" xfId="0" applyNumberFormat="1" applyFont="1" applyFill="1" applyBorder="1" applyAlignment="1">
      <alignment horizontal="left" vertical="center" wrapText="1"/>
    </xf>
    <xf numFmtId="3" fontId="12" fillId="2" borderId="17" xfId="0" applyNumberFormat="1" applyFont="1" applyFill="1" applyBorder="1" applyAlignment="1">
      <alignment horizontal="right" vertical="center"/>
    </xf>
    <xf numFmtId="172" fontId="12" fillId="2" borderId="17" xfId="0" applyNumberFormat="1" applyFont="1" applyFill="1" applyBorder="1" applyAlignment="1">
      <alignment horizontal="right" vertical="center"/>
    </xf>
    <xf numFmtId="0" fontId="12" fillId="2" borderId="21" xfId="0" applyFont="1" applyFill="1" applyBorder="1" applyAlignment="1">
      <alignment horizontal="center" vertical="center"/>
    </xf>
    <xf numFmtId="49" fontId="12" fillId="2" borderId="21" xfId="0" applyNumberFormat="1" applyFont="1" applyFill="1" applyBorder="1" applyAlignment="1">
      <alignment horizontal="center" vertical="center"/>
    </xf>
    <xf numFmtId="3" fontId="12" fillId="2" borderId="21" xfId="0" applyNumberFormat="1" applyFont="1" applyFill="1" applyBorder="1" applyAlignment="1">
      <alignment horizontal="right" vertical="center"/>
    </xf>
    <xf numFmtId="172" fontId="12" fillId="2" borderId="21" xfId="0" applyNumberFormat="1" applyFont="1" applyFill="1" applyBorder="1" applyAlignment="1">
      <alignment horizontal="right" vertical="center"/>
    </xf>
    <xf numFmtId="0" fontId="12" fillId="2" borderId="2" xfId="0" applyFont="1" applyFill="1" applyBorder="1" applyAlignment="1">
      <alignment horizontal="center" vertical="center"/>
    </xf>
    <xf numFmtId="49" fontId="12" fillId="2" borderId="2" xfId="0" applyNumberFormat="1" applyFont="1" applyFill="1" applyBorder="1" applyAlignment="1">
      <alignment horizontal="center" vertical="center"/>
    </xf>
    <xf numFmtId="49" fontId="12" fillId="2" borderId="2" xfId="0" applyNumberFormat="1" applyFont="1" applyFill="1" applyBorder="1" applyAlignment="1">
      <alignment horizontal="left" vertical="center" wrapText="1"/>
    </xf>
    <xf numFmtId="3" fontId="12" fillId="2" borderId="2" xfId="0" applyNumberFormat="1" applyFont="1" applyFill="1" applyBorder="1" applyAlignment="1">
      <alignment horizontal="right" vertical="center"/>
    </xf>
    <xf numFmtId="172" fontId="12" fillId="2" borderId="2" xfId="0" applyNumberFormat="1" applyFont="1" applyFill="1" applyBorder="1" applyAlignment="1">
      <alignment horizontal="right" vertical="center"/>
    </xf>
    <xf numFmtId="0" fontId="0" fillId="2" borderId="22" xfId="0" applyFont="1" applyFill="1" applyBorder="1" applyAlignment="1">
      <alignment horizontal="center" vertical="center"/>
    </xf>
    <xf numFmtId="49" fontId="12" fillId="2" borderId="22" xfId="0" applyNumberFormat="1" applyFont="1" applyFill="1" applyBorder="1" applyAlignment="1">
      <alignment horizontal="center" vertical="center"/>
    </xf>
    <xf numFmtId="49" fontId="12" fillId="2" borderId="22" xfId="0" applyNumberFormat="1" applyFont="1" applyFill="1" applyBorder="1" applyAlignment="1">
      <alignment horizontal="left" vertical="center" wrapText="1"/>
    </xf>
    <xf numFmtId="3" fontId="12" fillId="2" borderId="22" xfId="0" applyNumberFormat="1" applyFont="1" applyFill="1" applyBorder="1" applyAlignment="1">
      <alignment horizontal="right" vertical="center"/>
    </xf>
    <xf numFmtId="172" fontId="0" fillId="2" borderId="17" xfId="0" applyNumberFormat="1" applyFont="1" applyFill="1" applyBorder="1" applyAlignment="1">
      <alignment horizontal="right" vertical="center"/>
    </xf>
    <xf numFmtId="0" fontId="0" fillId="2" borderId="0" xfId="0" applyFont="1" applyFill="1" applyBorder="1" applyAlignment="1">
      <alignment/>
    </xf>
    <xf numFmtId="0" fontId="0" fillId="2" borderId="2" xfId="0" applyFill="1" applyBorder="1" applyAlignment="1">
      <alignment horizontal="center" vertical="center"/>
    </xf>
    <xf numFmtId="49" fontId="12" fillId="2" borderId="23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/>
    </xf>
    <xf numFmtId="0" fontId="12" fillId="0" borderId="0" xfId="0" applyFont="1" applyFill="1" applyBorder="1" applyAlignment="1">
      <alignment/>
    </xf>
    <xf numFmtId="0" fontId="0" fillId="0" borderId="73" xfId="0" applyFont="1" applyFill="1" applyBorder="1" applyAlignment="1">
      <alignment horizontal="center" vertical="center"/>
    </xf>
    <xf numFmtId="3" fontId="0" fillId="0" borderId="73" xfId="0" applyNumberFormat="1" applyFont="1" applyFill="1" applyBorder="1" applyAlignment="1">
      <alignment horizontal="right" vertical="center"/>
    </xf>
    <xf numFmtId="172" fontId="0" fillId="0" borderId="73" xfId="0" applyNumberFormat="1" applyFont="1" applyFill="1" applyBorder="1" applyAlignment="1">
      <alignment horizontal="right" vertical="center"/>
    </xf>
    <xf numFmtId="49" fontId="0" fillId="0" borderId="47" xfId="0" applyNumberForma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0" fillId="0" borderId="76" xfId="0" applyNumberFormat="1" applyFont="1" applyFill="1" applyBorder="1" applyAlignment="1">
      <alignment horizontal="center" vertical="center"/>
    </xf>
    <xf numFmtId="3" fontId="0" fillId="0" borderId="1" xfId="0" applyNumberFormat="1" applyFont="1" applyFill="1" applyBorder="1" applyAlignment="1">
      <alignment horizontal="right" vertical="center"/>
    </xf>
    <xf numFmtId="172" fontId="0" fillId="0" borderId="73" xfId="0" applyNumberFormat="1" applyFill="1" applyBorder="1" applyAlignment="1">
      <alignment horizontal="right" vertical="center"/>
    </xf>
    <xf numFmtId="172" fontId="0" fillId="0" borderId="1" xfId="0" applyNumberForma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49" fontId="12" fillId="0" borderId="28" xfId="0" applyNumberFormat="1" applyFont="1" applyFill="1" applyBorder="1" applyAlignment="1">
      <alignment horizontal="center" vertical="center"/>
    </xf>
    <xf numFmtId="49" fontId="12" fillId="0" borderId="28" xfId="0" applyNumberFormat="1" applyFont="1" applyFill="1" applyBorder="1" applyAlignment="1">
      <alignment horizontal="left" vertical="center" wrapText="1"/>
    </xf>
    <xf numFmtId="3" fontId="12" fillId="0" borderId="28" xfId="0" applyNumberFormat="1" applyFont="1" applyFill="1" applyBorder="1" applyAlignment="1">
      <alignment horizontal="right" vertical="center"/>
    </xf>
    <xf numFmtId="0" fontId="0" fillId="0" borderId="73" xfId="0" applyFill="1" applyBorder="1" applyAlignment="1">
      <alignment horizontal="center" vertical="center"/>
    </xf>
    <xf numFmtId="0" fontId="0" fillId="0" borderId="77" xfId="0" applyNumberFormat="1" applyFont="1" applyFill="1" applyBorder="1" applyAlignment="1">
      <alignment wrapText="1"/>
    </xf>
    <xf numFmtId="0" fontId="5" fillId="0" borderId="5" xfId="0" applyNumberFormat="1" applyFont="1" applyFill="1" applyBorder="1" applyAlignment="1">
      <alignment wrapText="1"/>
    </xf>
    <xf numFmtId="49" fontId="12" fillId="0" borderId="20" xfId="0" applyNumberFormat="1" applyFont="1" applyFill="1" applyBorder="1" applyAlignment="1" applyProtection="1">
      <alignment horizontal="left" vertical="center" wrapText="1"/>
      <protection locked="0"/>
    </xf>
    <xf numFmtId="49" fontId="0" fillId="0" borderId="73" xfId="0" applyNumberFormat="1" applyFont="1" applyFill="1" applyBorder="1" applyAlignment="1" applyProtection="1">
      <alignment horizontal="left" vertical="center" wrapText="1"/>
      <protection locked="0"/>
    </xf>
    <xf numFmtId="174" fontId="12" fillId="0" borderId="20" xfId="0" applyNumberFormat="1" applyFont="1" applyFill="1" applyBorder="1" applyAlignment="1">
      <alignment horizontal="center" vertical="center"/>
    </xf>
    <xf numFmtId="174" fontId="12" fillId="0" borderId="20" xfId="0" applyNumberFormat="1" applyFont="1" applyFill="1" applyBorder="1" applyAlignment="1" applyProtection="1">
      <alignment horizontal="left" vertical="center" wrapText="1"/>
      <protection locked="0"/>
    </xf>
    <xf numFmtId="49" fontId="0" fillId="0" borderId="73" xfId="0" applyNumberFormat="1" applyFill="1" applyBorder="1" applyAlignment="1">
      <alignment horizontal="center" vertical="center"/>
    </xf>
    <xf numFmtId="49" fontId="0" fillId="0" borderId="73" xfId="0" applyNumberFormat="1" applyFill="1" applyBorder="1" applyAlignment="1">
      <alignment horizontal="left" vertical="center" wrapText="1"/>
    </xf>
    <xf numFmtId="3" fontId="0" fillId="0" borderId="73" xfId="0" applyNumberFormat="1" applyFill="1" applyBorder="1" applyAlignment="1">
      <alignment horizontal="right" vertical="center"/>
    </xf>
    <xf numFmtId="172" fontId="5" fillId="0" borderId="15" xfId="0" applyNumberFormat="1" applyFont="1" applyFill="1" applyBorder="1" applyAlignment="1">
      <alignment horizontal="center" vertical="center"/>
    </xf>
    <xf numFmtId="172" fontId="12" fillId="0" borderId="28" xfId="0" applyNumberFormat="1" applyFont="1" applyFill="1" applyBorder="1" applyAlignment="1">
      <alignment horizontal="center" vertical="center"/>
    </xf>
    <xf numFmtId="172" fontId="0" fillId="0" borderId="17" xfId="0" applyNumberFormat="1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center" vertical="center"/>
    </xf>
    <xf numFmtId="49" fontId="0" fillId="2" borderId="20" xfId="0" applyNumberFormat="1" applyFont="1" applyFill="1" applyBorder="1" applyAlignment="1">
      <alignment horizontal="center" vertical="center"/>
    </xf>
    <xf numFmtId="49" fontId="0" fillId="2" borderId="20" xfId="0" applyNumberFormat="1" applyFont="1" applyFill="1" applyBorder="1" applyAlignment="1">
      <alignment horizontal="left" vertical="center" wrapText="1"/>
    </xf>
    <xf numFmtId="3" fontId="0" fillId="2" borderId="20" xfId="0" applyNumberFormat="1" applyFont="1" applyFill="1" applyBorder="1" applyAlignment="1">
      <alignment horizontal="right" vertical="center"/>
    </xf>
    <xf numFmtId="172" fontId="0" fillId="2" borderId="20" xfId="0" applyNumberFormat="1" applyFont="1" applyFill="1" applyBorder="1" applyAlignment="1">
      <alignment horizontal="right" vertical="center"/>
    </xf>
    <xf numFmtId="172" fontId="12" fillId="0" borderId="2" xfId="0" applyNumberFormat="1" applyFont="1" applyFill="1" applyBorder="1" applyAlignment="1">
      <alignment horizontal="center" vertical="top"/>
    </xf>
    <xf numFmtId="49" fontId="10" fillId="0" borderId="3" xfId="0" applyNumberFormat="1" applyFont="1" applyFill="1" applyBorder="1" applyAlignment="1">
      <alignment vertical="top" wrapText="1"/>
    </xf>
    <xf numFmtId="172" fontId="0" fillId="0" borderId="29" xfId="0" applyNumberFormat="1" applyFill="1" applyBorder="1" applyAlignment="1">
      <alignment horizontal="center" vertical="top"/>
    </xf>
    <xf numFmtId="3" fontId="10" fillId="0" borderId="20" xfId="0" applyNumberFormat="1" applyFont="1" applyFill="1" applyBorder="1" applyAlignment="1">
      <alignment vertical="top" wrapText="1"/>
    </xf>
    <xf numFmtId="172" fontId="0" fillId="0" borderId="20" xfId="0" applyNumberFormat="1" applyFill="1" applyBorder="1" applyAlignment="1">
      <alignment horizontal="right" vertical="top"/>
    </xf>
    <xf numFmtId="49" fontId="21" fillId="0" borderId="3" xfId="0" applyNumberFormat="1" applyFont="1" applyFill="1" applyBorder="1" applyAlignment="1">
      <alignment horizontal="right" vertical="top" wrapText="1"/>
    </xf>
    <xf numFmtId="49" fontId="21" fillId="0" borderId="3" xfId="0" applyNumberFormat="1" applyFont="1" applyFill="1" applyBorder="1" applyAlignment="1">
      <alignment vertical="top" wrapText="1"/>
    </xf>
    <xf numFmtId="0" fontId="21" fillId="0" borderId="3" xfId="0" applyFont="1" applyFill="1" applyBorder="1" applyAlignment="1">
      <alignment vertical="top" wrapText="1"/>
    </xf>
    <xf numFmtId="3" fontId="21" fillId="0" borderId="3" xfId="0" applyNumberFormat="1" applyFont="1" applyFill="1" applyBorder="1" applyAlignment="1">
      <alignment vertical="top" wrapText="1"/>
    </xf>
    <xf numFmtId="172" fontId="12" fillId="0" borderId="3" xfId="0" applyNumberFormat="1" applyFont="1" applyFill="1" applyBorder="1" applyAlignment="1">
      <alignment horizontal="center" vertical="top"/>
    </xf>
    <xf numFmtId="172" fontId="12" fillId="0" borderId="3" xfId="0" applyNumberFormat="1" applyFont="1" applyFill="1" applyBorder="1" applyAlignment="1">
      <alignment horizontal="right" vertical="top"/>
    </xf>
    <xf numFmtId="1" fontId="53" fillId="0" borderId="54" xfId="0" applyNumberFormat="1" applyFont="1" applyBorder="1" applyAlignment="1">
      <alignment horizontal="center" vertical="center"/>
    </xf>
    <xf numFmtId="175" fontId="6" fillId="0" borderId="54" xfId="0" applyNumberFormat="1" applyFont="1" applyFill="1" applyBorder="1" applyAlignment="1">
      <alignment vertical="center"/>
    </xf>
    <xf numFmtId="0" fontId="6" fillId="0" borderId="54" xfId="0" applyFont="1" applyFill="1" applyBorder="1" applyAlignment="1">
      <alignment horizontal="center" vertical="center"/>
    </xf>
    <xf numFmtId="175" fontId="6" fillId="0" borderId="54" xfId="0" applyNumberFormat="1" applyFont="1" applyFill="1" applyBorder="1" applyAlignment="1">
      <alignment/>
    </xf>
    <xf numFmtId="175" fontId="6" fillId="0" borderId="54" xfId="0" applyNumberFormat="1" applyFont="1" applyFill="1" applyBorder="1" applyAlignment="1">
      <alignment horizontal="right"/>
    </xf>
    <xf numFmtId="175" fontId="4" fillId="0" borderId="54" xfId="0" applyNumberFormat="1" applyFont="1" applyFill="1" applyBorder="1" applyAlignment="1">
      <alignment/>
    </xf>
    <xf numFmtId="1" fontId="7" fillId="0" borderId="11" xfId="0" applyNumberFormat="1" applyFont="1" applyBorder="1" applyAlignment="1">
      <alignment horizontal="right" vertical="center"/>
    </xf>
    <xf numFmtId="1" fontId="6" fillId="0" borderId="16" xfId="0" applyNumberFormat="1" applyFont="1" applyFill="1" applyBorder="1" applyAlignment="1">
      <alignment horizontal="center" vertical="center"/>
    </xf>
    <xf numFmtId="0" fontId="47" fillId="0" borderId="51" xfId="0" applyFont="1" applyBorder="1" applyAlignment="1">
      <alignment/>
    </xf>
    <xf numFmtId="0" fontId="48" fillId="0" borderId="78" xfId="0" applyFont="1" applyFill="1" applyBorder="1" applyAlignment="1">
      <alignment/>
    </xf>
    <xf numFmtId="0" fontId="50" fillId="0" borderId="78" xfId="0" applyFont="1" applyBorder="1" applyAlignment="1">
      <alignment/>
    </xf>
    <xf numFmtId="0" fontId="50" fillId="0" borderId="78" xfId="0" applyFont="1" applyBorder="1" applyAlignment="1">
      <alignment/>
    </xf>
    <xf numFmtId="0" fontId="50" fillId="0" borderId="79" xfId="0" applyFont="1" applyBorder="1" applyAlignment="1">
      <alignment/>
    </xf>
    <xf numFmtId="0" fontId="51" fillId="0" borderId="16" xfId="0" applyFont="1" applyFill="1" applyBorder="1" applyAlignment="1">
      <alignment/>
    </xf>
    <xf numFmtId="0" fontId="52" fillId="0" borderId="51" xfId="0" applyFont="1" applyBorder="1" applyAlignment="1">
      <alignment/>
    </xf>
    <xf numFmtId="0" fontId="47" fillId="0" borderId="51" xfId="0" applyFont="1" applyBorder="1" applyAlignment="1">
      <alignment/>
    </xf>
    <xf numFmtId="0" fontId="47" fillId="0" borderId="78" xfId="0" applyFont="1" applyBorder="1" applyAlignment="1">
      <alignment/>
    </xf>
    <xf numFmtId="0" fontId="47" fillId="0" borderId="79" xfId="0" applyFont="1" applyFill="1" applyBorder="1" applyAlignment="1">
      <alignment/>
    </xf>
    <xf numFmtId="0" fontId="47" fillId="0" borderId="51" xfId="0" applyFont="1" applyBorder="1" applyAlignment="1">
      <alignment/>
    </xf>
    <xf numFmtId="0" fontId="47" fillId="0" borderId="78" xfId="0" applyFont="1" applyBorder="1" applyAlignment="1">
      <alignment wrapText="1"/>
    </xf>
    <xf numFmtId="0" fontId="47" fillId="0" borderId="51" xfId="0" applyFont="1" applyFill="1" applyBorder="1" applyAlignment="1">
      <alignment horizontal="left" indent="1"/>
    </xf>
    <xf numFmtId="0" fontId="55" fillId="0" borderId="78" xfId="0" applyFont="1" applyBorder="1" applyAlignment="1">
      <alignment/>
    </xf>
    <xf numFmtId="49" fontId="50" fillId="0" borderId="78" xfId="0" applyNumberFormat="1" applyFont="1" applyBorder="1" applyAlignment="1">
      <alignment/>
    </xf>
    <xf numFmtId="0" fontId="47" fillId="0" borderId="78" xfId="0" applyFont="1" applyBorder="1" applyAlignment="1">
      <alignment/>
    </xf>
    <xf numFmtId="0" fontId="47" fillId="0" borderId="13" xfId="0" applyFont="1" applyBorder="1" applyAlignment="1">
      <alignment/>
    </xf>
    <xf numFmtId="0" fontId="51" fillId="0" borderId="59" xfId="0" applyFont="1" applyFill="1" applyBorder="1" applyAlignment="1">
      <alignment wrapText="1"/>
    </xf>
    <xf numFmtId="0" fontId="51" fillId="0" borderId="59" xfId="0" applyFont="1" applyFill="1" applyBorder="1" applyAlignment="1">
      <alignment/>
    </xf>
    <xf numFmtId="175" fontId="6" fillId="0" borderId="80" xfId="21" applyNumberFormat="1" applyFont="1" applyFill="1" applyBorder="1" applyAlignment="1">
      <alignment vertical="center"/>
    </xf>
    <xf numFmtId="175" fontId="0" fillId="0" borderId="52" xfId="0" applyNumberFormat="1" applyFill="1" applyBorder="1" applyAlignment="1">
      <alignment/>
    </xf>
    <xf numFmtId="175" fontId="49" fillId="0" borderId="65" xfId="0" applyNumberFormat="1" applyFont="1" applyFill="1" applyBorder="1" applyAlignment="1">
      <alignment/>
    </xf>
    <xf numFmtId="175" fontId="1" fillId="0" borderId="65" xfId="0" applyNumberFormat="1" applyFont="1" applyBorder="1" applyAlignment="1">
      <alignment horizontal="right"/>
    </xf>
    <xf numFmtId="175" fontId="6" fillId="0" borderId="80" xfId="0" applyNumberFormat="1" applyFont="1" applyFill="1" applyBorder="1" applyAlignment="1">
      <alignment/>
    </xf>
    <xf numFmtId="175" fontId="1" fillId="0" borderId="65" xfId="0" applyNumberFormat="1" applyFont="1" applyFill="1" applyBorder="1" applyAlignment="1">
      <alignment horizontal="right"/>
    </xf>
    <xf numFmtId="175" fontId="1" fillId="0" borderId="65" xfId="0" applyNumberFormat="1" applyFont="1" applyBorder="1" applyAlignment="1">
      <alignment horizontal="right" vertical="center"/>
    </xf>
    <xf numFmtId="175" fontId="42" fillId="0" borderId="65" xfId="0" applyNumberFormat="1" applyFont="1" applyFill="1" applyBorder="1" applyAlignment="1">
      <alignment horizontal="right"/>
    </xf>
    <xf numFmtId="175" fontId="0" fillId="0" borderId="65" xfId="0" applyNumberFormat="1" applyFont="1" applyBorder="1" applyAlignment="1">
      <alignment horizontal="right"/>
    </xf>
    <xf numFmtId="175" fontId="0" fillId="0" borderId="65" xfId="0" applyNumberFormat="1" applyFont="1" applyFill="1" applyBorder="1" applyAlignment="1">
      <alignment/>
    </xf>
    <xf numFmtId="175" fontId="0" fillId="0" borderId="65" xfId="0" applyNumberFormat="1" applyFont="1" applyFill="1" applyBorder="1" applyAlignment="1">
      <alignment vertical="center"/>
    </xf>
    <xf numFmtId="175" fontId="0" fillId="0" borderId="81" xfId="0" applyNumberFormat="1" applyFont="1" applyFill="1" applyBorder="1" applyAlignment="1">
      <alignment/>
    </xf>
    <xf numFmtId="3" fontId="31" fillId="0" borderId="0" xfId="0" applyNumberFormat="1" applyFont="1" applyFill="1" applyAlignment="1">
      <alignment/>
    </xf>
    <xf numFmtId="3" fontId="30" fillId="0" borderId="0" xfId="0" applyNumberFormat="1" applyFont="1" applyFill="1" applyAlignment="1">
      <alignment/>
    </xf>
    <xf numFmtId="0" fontId="1" fillId="0" borderId="41" xfId="0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3" fontId="1" fillId="0" borderId="42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6" fillId="0" borderId="38" xfId="0" applyFont="1" applyFill="1" applyBorder="1" applyAlignment="1">
      <alignment horizontal="center" vertical="center"/>
    </xf>
    <xf numFmtId="3" fontId="6" fillId="0" borderId="33" xfId="0" applyNumberFormat="1" applyFont="1" applyFill="1" applyBorder="1" applyAlignment="1">
      <alignment horizontal="center" vertical="center"/>
    </xf>
    <xf numFmtId="3" fontId="6" fillId="0" borderId="38" xfId="0" applyNumberFormat="1" applyFont="1" applyBorder="1" applyAlignment="1">
      <alignment vertical="center"/>
    </xf>
    <xf numFmtId="3" fontId="6" fillId="0" borderId="33" xfId="0" applyNumberFormat="1" applyFont="1" applyBorder="1" applyAlignment="1">
      <alignment vertical="center"/>
    </xf>
    <xf numFmtId="0" fontId="0" fillId="0" borderId="21" xfId="0" applyBorder="1" applyAlignment="1">
      <alignment horizontal="left" vertical="center" indent="2"/>
    </xf>
    <xf numFmtId="3" fontId="0" fillId="0" borderId="21" xfId="0" applyNumberForma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49" fontId="30" fillId="0" borderId="15" xfId="0" applyNumberFormat="1" applyFont="1" applyBorder="1" applyAlignment="1">
      <alignment horizontal="center" vertical="top" wrapText="1"/>
    </xf>
    <xf numFmtId="49" fontId="30" fillId="0" borderId="15" xfId="0" applyNumberFormat="1" applyFont="1" applyFill="1" applyBorder="1" applyAlignment="1">
      <alignment vertical="top" wrapText="1"/>
    </xf>
    <xf numFmtId="0" fontId="30" fillId="0" borderId="15" xfId="0" applyFont="1" applyFill="1" applyBorder="1" applyAlignment="1">
      <alignment vertical="top" wrapText="1"/>
    </xf>
    <xf numFmtId="3" fontId="30" fillId="0" borderId="15" xfId="0" applyNumberFormat="1" applyFont="1" applyFill="1" applyBorder="1" applyAlignment="1">
      <alignment vertical="top" wrapText="1"/>
    </xf>
    <xf numFmtId="0" fontId="31" fillId="0" borderId="0" xfId="0" applyFont="1" applyFill="1" applyAlignment="1">
      <alignment/>
    </xf>
    <xf numFmtId="49" fontId="21" fillId="0" borderId="17" xfId="0" applyNumberFormat="1" applyFont="1" applyFill="1" applyBorder="1" applyAlignment="1">
      <alignment horizontal="right" vertical="top" wrapText="1"/>
    </xf>
    <xf numFmtId="3" fontId="21" fillId="0" borderId="17" xfId="0" applyNumberFormat="1" applyFont="1" applyFill="1" applyBorder="1" applyAlignment="1">
      <alignment vertical="top" wrapText="1"/>
    </xf>
    <xf numFmtId="3" fontId="21" fillId="0" borderId="18" xfId="0" applyNumberFormat="1" applyFont="1" applyFill="1" applyBorder="1" applyAlignment="1">
      <alignment vertical="top" wrapText="1"/>
    </xf>
    <xf numFmtId="172" fontId="12" fillId="0" borderId="22" xfId="0" applyNumberFormat="1" applyFont="1" applyFill="1" applyBorder="1" applyAlignment="1">
      <alignment horizontal="center" vertical="top"/>
    </xf>
    <xf numFmtId="0" fontId="0" fillId="0" borderId="82" xfId="0" applyFill="1" applyBorder="1" applyAlignment="1">
      <alignment vertical="center"/>
    </xf>
    <xf numFmtId="3" fontId="24" fillId="0" borderId="0" xfId="0" applyNumberFormat="1" applyFont="1" applyFill="1" applyAlignment="1">
      <alignment horizontal="center" vertical="center"/>
    </xf>
    <xf numFmtId="3" fontId="0" fillId="0" borderId="0" xfId="0" applyNumberFormat="1" applyFont="1" applyFill="1" applyAlignment="1">
      <alignment horizontal="center" vertical="center"/>
    </xf>
    <xf numFmtId="3" fontId="18" fillId="0" borderId="28" xfId="0" applyNumberFormat="1" applyFont="1" applyFill="1" applyBorder="1" applyAlignment="1">
      <alignment horizontal="center" vertical="center" wrapText="1"/>
    </xf>
    <xf numFmtId="3" fontId="18" fillId="0" borderId="83" xfId="0" applyNumberFormat="1" applyFont="1" applyFill="1" applyBorder="1" applyAlignment="1">
      <alignment horizontal="center" vertical="center" wrapText="1"/>
    </xf>
    <xf numFmtId="3" fontId="10" fillId="0" borderId="84" xfId="0" applyNumberFormat="1" applyFont="1" applyFill="1" applyBorder="1" applyAlignment="1">
      <alignment vertical="top" wrapText="1"/>
    </xf>
    <xf numFmtId="3" fontId="10" fillId="0" borderId="30" xfId="0" applyNumberFormat="1" applyFont="1" applyFill="1" applyBorder="1" applyAlignment="1">
      <alignment vertical="top" wrapText="1"/>
    </xf>
    <xf numFmtId="3" fontId="10" fillId="0" borderId="18" xfId="0" applyNumberFormat="1" applyFont="1" applyFill="1" applyBorder="1" applyAlignment="1">
      <alignment vertical="top" wrapText="1"/>
    </xf>
    <xf numFmtId="3" fontId="17" fillId="0" borderId="30" xfId="0" applyNumberFormat="1" applyFont="1" applyFill="1" applyBorder="1" applyAlignment="1">
      <alignment vertical="top" wrapText="1"/>
    </xf>
    <xf numFmtId="3" fontId="17" fillId="0" borderId="18" xfId="0" applyNumberFormat="1" applyFont="1" applyFill="1" applyBorder="1" applyAlignment="1">
      <alignment vertical="top" wrapText="1"/>
    </xf>
    <xf numFmtId="3" fontId="10" fillId="0" borderId="85" xfId="0" applyNumberFormat="1" applyFont="1" applyFill="1" applyBorder="1" applyAlignment="1">
      <alignment vertical="top" wrapText="1"/>
    </xf>
    <xf numFmtId="3" fontId="21" fillId="0" borderId="86" xfId="0" applyNumberFormat="1" applyFont="1" applyFill="1" applyBorder="1" applyAlignment="1">
      <alignment vertical="top" wrapText="1"/>
    </xf>
    <xf numFmtId="3" fontId="0" fillId="0" borderId="0" xfId="0" applyNumberFormat="1" applyFill="1" applyAlignment="1">
      <alignment vertical="center"/>
    </xf>
    <xf numFmtId="172" fontId="12" fillId="0" borderId="17" xfId="0" applyNumberFormat="1" applyFont="1" applyFill="1" applyBorder="1" applyAlignment="1">
      <alignment horizontal="center" vertical="top"/>
    </xf>
    <xf numFmtId="172" fontId="0" fillId="0" borderId="2" xfId="0" applyNumberFormat="1" applyFill="1" applyBorder="1" applyAlignment="1">
      <alignment horizontal="center" vertical="top"/>
    </xf>
    <xf numFmtId="172" fontId="0" fillId="0" borderId="22" xfId="0" applyNumberFormat="1" applyFill="1" applyBorder="1" applyAlignment="1">
      <alignment horizontal="center" vertical="top"/>
    </xf>
    <xf numFmtId="172" fontId="5" fillId="0" borderId="15" xfId="0" applyNumberFormat="1" applyFont="1" applyFill="1" applyBorder="1" applyAlignment="1">
      <alignment horizontal="center" vertical="top"/>
    </xf>
    <xf numFmtId="3" fontId="0" fillId="0" borderId="0" xfId="18" applyNumberFormat="1">
      <alignment/>
      <protection/>
    </xf>
    <xf numFmtId="3" fontId="7" fillId="0" borderId="87" xfId="18" applyNumberFormat="1" applyFont="1" applyFill="1" applyBorder="1" applyAlignment="1">
      <alignment vertical="center"/>
      <protection/>
    </xf>
    <xf numFmtId="172" fontId="0" fillId="0" borderId="22" xfId="0" applyNumberFormat="1" applyFill="1" applyBorder="1" applyAlignment="1">
      <alignment horizontal="right" vertical="top"/>
    </xf>
    <xf numFmtId="3" fontId="0" fillId="0" borderId="0" xfId="0" applyNumberFormat="1" applyFill="1" applyAlignment="1">
      <alignment/>
    </xf>
    <xf numFmtId="49" fontId="17" fillId="0" borderId="20" xfId="0" applyNumberFormat="1" applyFont="1" applyFill="1" applyBorder="1" applyAlignment="1">
      <alignment vertical="top" wrapText="1"/>
    </xf>
    <xf numFmtId="0" fontId="17" fillId="0" borderId="20" xfId="0" applyFont="1" applyFill="1" applyBorder="1" applyAlignment="1">
      <alignment vertical="top" wrapText="1"/>
    </xf>
    <xf numFmtId="172" fontId="35" fillId="0" borderId="2" xfId="0" applyNumberFormat="1" applyFont="1" applyFill="1" applyBorder="1" applyAlignment="1">
      <alignment horizontal="right" vertical="top"/>
    </xf>
    <xf numFmtId="49" fontId="17" fillId="0" borderId="17" xfId="0" applyNumberFormat="1" applyFont="1" applyFill="1" applyBorder="1" applyAlignment="1">
      <alignment vertical="top" wrapText="1"/>
    </xf>
    <xf numFmtId="0" fontId="17" fillId="0" borderId="17" xfId="0" applyFont="1" applyFill="1" applyBorder="1" applyAlignment="1">
      <alignment vertical="top" wrapText="1"/>
    </xf>
    <xf numFmtId="172" fontId="35" fillId="0" borderId="22" xfId="0" applyNumberFormat="1" applyFont="1" applyFill="1" applyBorder="1" applyAlignment="1">
      <alignment horizontal="right" vertical="top"/>
    </xf>
    <xf numFmtId="0" fontId="54" fillId="0" borderId="0" xfId="0" applyFont="1" applyFill="1" applyAlignment="1">
      <alignment/>
    </xf>
    <xf numFmtId="0" fontId="12" fillId="0" borderId="0" xfId="0" applyFont="1" applyFill="1" applyAlignment="1">
      <alignment/>
    </xf>
    <xf numFmtId="3" fontId="6" fillId="0" borderId="54" xfId="0" applyNumberFormat="1" applyFont="1" applyFill="1" applyBorder="1" applyAlignment="1">
      <alignment horizontal="right" vertical="center"/>
    </xf>
    <xf numFmtId="172" fontId="6" fillId="0" borderId="54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49" fontId="30" fillId="0" borderId="15" xfId="0" applyNumberFormat="1" applyFont="1" applyFill="1" applyBorder="1" applyAlignment="1">
      <alignment horizontal="center" vertical="top" wrapText="1"/>
    </xf>
    <xf numFmtId="49" fontId="10" fillId="0" borderId="20" xfId="0" applyNumberFormat="1" applyFont="1" applyFill="1" applyBorder="1" applyAlignment="1">
      <alignment horizontal="center" vertical="top" wrapText="1"/>
    </xf>
    <xf numFmtId="49" fontId="10" fillId="0" borderId="3" xfId="0" applyNumberFormat="1" applyFont="1" applyFill="1" applyBorder="1" applyAlignment="1">
      <alignment horizontal="right" vertical="top" wrapText="1"/>
    </xf>
    <xf numFmtId="172" fontId="0" fillId="0" borderId="3" xfId="0" applyNumberFormat="1" applyFill="1" applyBorder="1" applyAlignment="1">
      <alignment horizontal="right" vertical="top"/>
    </xf>
    <xf numFmtId="172" fontId="12" fillId="0" borderId="20" xfId="0" applyNumberFormat="1" applyFont="1" applyFill="1" applyBorder="1" applyAlignment="1">
      <alignment horizontal="right" vertical="top"/>
    </xf>
    <xf numFmtId="49" fontId="10" fillId="0" borderId="20" xfId="0" applyNumberFormat="1" applyFont="1" applyFill="1" applyBorder="1" applyAlignment="1">
      <alignment horizontal="left" vertical="top" wrapText="1"/>
    </xf>
    <xf numFmtId="172" fontId="0" fillId="0" borderId="20" xfId="0" applyNumberFormat="1" applyFont="1" applyFill="1" applyBorder="1" applyAlignment="1">
      <alignment horizontal="right" vertical="top"/>
    </xf>
    <xf numFmtId="49" fontId="10" fillId="0" borderId="50" xfId="0" applyNumberFormat="1" applyFont="1" applyFill="1" applyBorder="1" applyAlignment="1">
      <alignment vertical="top" wrapText="1"/>
    </xf>
    <xf numFmtId="49" fontId="21" fillId="0" borderId="50" xfId="0" applyNumberFormat="1" applyFont="1" applyFill="1" applyBorder="1" applyAlignment="1">
      <alignment horizontal="right" vertical="top" wrapText="1"/>
    </xf>
    <xf numFmtId="49" fontId="21" fillId="0" borderId="50" xfId="0" applyNumberFormat="1" applyFont="1" applyFill="1" applyBorder="1" applyAlignment="1">
      <alignment vertical="top" wrapText="1"/>
    </xf>
    <xf numFmtId="0" fontId="21" fillId="0" borderId="50" xfId="0" applyFont="1" applyFill="1" applyBorder="1" applyAlignment="1">
      <alignment vertical="top" wrapText="1"/>
    </xf>
    <xf numFmtId="3" fontId="21" fillId="0" borderId="51" xfId="0" applyNumberFormat="1" applyFont="1" applyFill="1" applyBorder="1" applyAlignment="1">
      <alignment vertical="top" wrapText="1"/>
    </xf>
    <xf numFmtId="172" fontId="12" fillId="0" borderId="50" xfId="0" applyNumberFormat="1" applyFont="1" applyFill="1" applyBorder="1" applyAlignment="1">
      <alignment horizontal="right" vertical="top"/>
    </xf>
    <xf numFmtId="3" fontId="10" fillId="0" borderId="86" xfId="0" applyNumberFormat="1" applyFont="1" applyFill="1" applyBorder="1" applyAlignment="1">
      <alignment vertical="top" wrapText="1"/>
    </xf>
    <xf numFmtId="172" fontId="0" fillId="0" borderId="20" xfId="0" applyNumberFormat="1" applyFill="1" applyBorder="1" applyAlignment="1">
      <alignment horizontal="center" vertical="top"/>
    </xf>
    <xf numFmtId="175" fontId="0" fillId="0" borderId="0" xfId="0" applyNumberFormat="1" applyFont="1" applyFill="1" applyAlignment="1">
      <alignment/>
    </xf>
    <xf numFmtId="0" fontId="0" fillId="0" borderId="20" xfId="0" applyFont="1" applyBorder="1" applyAlignment="1">
      <alignment vertical="center"/>
    </xf>
    <xf numFmtId="3" fontId="0" fillId="0" borderId="20" xfId="0" applyNumberFormat="1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3" fontId="6" fillId="0" borderId="14" xfId="0" applyNumberFormat="1" applyFont="1" applyBorder="1" applyAlignment="1">
      <alignment vertical="center"/>
    </xf>
    <xf numFmtId="0" fontId="16" fillId="0" borderId="88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49" fontId="17" fillId="2" borderId="20" xfId="0" applyNumberFormat="1" applyFont="1" applyFill="1" applyBorder="1" applyAlignment="1">
      <alignment vertical="top" wrapText="1"/>
    </xf>
    <xf numFmtId="0" fontId="35" fillId="2" borderId="0" xfId="0" applyFont="1" applyFill="1" applyAlignment="1">
      <alignment/>
    </xf>
    <xf numFmtId="0" fontId="0" fillId="2" borderId="0" xfId="0" applyFill="1" applyAlignment="1">
      <alignment/>
    </xf>
    <xf numFmtId="175" fontId="59" fillId="0" borderId="0" xfId="0" applyNumberFormat="1" applyFont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43" xfId="0" applyBorder="1" applyAlignment="1">
      <alignment vertical="center"/>
    </xf>
    <xf numFmtId="0" fontId="50" fillId="0" borderId="78" xfId="0" applyFont="1" applyFill="1" applyBorder="1" applyAlignment="1">
      <alignment/>
    </xf>
    <xf numFmtId="49" fontId="32" fillId="0" borderId="89" xfId="0" applyNumberFormat="1" applyFont="1" applyFill="1" applyBorder="1" applyAlignment="1">
      <alignment vertical="top" wrapText="1"/>
    </xf>
    <xf numFmtId="49" fontId="31" fillId="0" borderId="90" xfId="0" applyNumberFormat="1" applyFont="1" applyFill="1" applyBorder="1" applyAlignment="1">
      <alignment vertical="top" wrapText="1"/>
    </xf>
    <xf numFmtId="3" fontId="6" fillId="0" borderId="91" xfId="0" applyNumberFormat="1" applyFont="1" applyFill="1" applyBorder="1" applyAlignment="1">
      <alignment/>
    </xf>
    <xf numFmtId="3" fontId="1" fillId="0" borderId="92" xfId="0" applyNumberFormat="1" applyFont="1" applyFill="1" applyBorder="1" applyAlignment="1">
      <alignment/>
    </xf>
    <xf numFmtId="3" fontId="12" fillId="0" borderId="93" xfId="0" applyNumberFormat="1" applyFont="1" applyFill="1" applyBorder="1" applyAlignment="1">
      <alignment/>
    </xf>
    <xf numFmtId="0" fontId="6" fillId="0" borderId="89" xfId="0" applyNumberFormat="1" applyFont="1" applyFill="1" applyBorder="1" applyAlignment="1">
      <alignment horizontal="center" vertical="center"/>
    </xf>
    <xf numFmtId="0" fontId="1" fillId="0" borderId="94" xfId="0" applyNumberFormat="1" applyFont="1" applyFill="1" applyBorder="1" applyAlignment="1">
      <alignment horizontal="center" vertical="center"/>
    </xf>
    <xf numFmtId="0" fontId="12" fillId="0" borderId="95" xfId="0" applyNumberFormat="1" applyFont="1" applyFill="1" applyBorder="1" applyAlignment="1">
      <alignment horizontal="center" vertical="center"/>
    </xf>
    <xf numFmtId="0" fontId="12" fillId="0" borderId="72" xfId="0" applyNumberFormat="1" applyFont="1" applyFill="1" applyBorder="1" applyAlignment="1">
      <alignment horizontal="center" vertical="center"/>
    </xf>
    <xf numFmtId="3" fontId="12" fillId="0" borderId="96" xfId="0" applyNumberFormat="1" applyFont="1" applyFill="1" applyBorder="1" applyAlignment="1">
      <alignment/>
    </xf>
    <xf numFmtId="3" fontId="32" fillId="0" borderId="91" xfId="0" applyNumberFormat="1" applyFont="1" applyFill="1" applyBorder="1" applyAlignment="1">
      <alignment vertical="top" wrapText="1"/>
    </xf>
    <xf numFmtId="0" fontId="12" fillId="0" borderId="97" xfId="0" applyNumberFormat="1" applyFont="1" applyFill="1" applyBorder="1" applyAlignment="1">
      <alignment horizontal="center" vertical="center"/>
    </xf>
    <xf numFmtId="3" fontId="12" fillId="0" borderId="98" xfId="0" applyNumberFormat="1" applyFont="1" applyFill="1" applyBorder="1" applyAlignment="1">
      <alignment/>
    </xf>
    <xf numFmtId="0" fontId="1" fillId="0" borderId="72" xfId="0" applyNumberFormat="1" applyFont="1" applyFill="1" applyBorder="1" applyAlignment="1">
      <alignment horizontal="center" vertical="center"/>
    </xf>
    <xf numFmtId="3" fontId="1" fillId="0" borderId="96" xfId="0" applyNumberFormat="1" applyFont="1" applyFill="1" applyBorder="1" applyAlignment="1">
      <alignment/>
    </xf>
    <xf numFmtId="0" fontId="12" fillId="0" borderId="94" xfId="0" applyNumberFormat="1" applyFont="1" applyFill="1" applyBorder="1" applyAlignment="1">
      <alignment horizontal="center" vertical="center"/>
    </xf>
    <xf numFmtId="3" fontId="12" fillId="0" borderId="92" xfId="0" applyNumberFormat="1" applyFont="1" applyFill="1" applyBorder="1" applyAlignment="1">
      <alignment/>
    </xf>
    <xf numFmtId="0" fontId="3" fillId="0" borderId="72" xfId="0" applyNumberFormat="1" applyFont="1" applyFill="1" applyBorder="1" applyAlignment="1">
      <alignment horizontal="center" vertical="center"/>
    </xf>
    <xf numFmtId="3" fontId="6" fillId="0" borderId="99" xfId="0" applyNumberFormat="1" applyFont="1" applyFill="1" applyBorder="1" applyAlignment="1">
      <alignment/>
    </xf>
    <xf numFmtId="0" fontId="60" fillId="0" borderId="97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60" fillId="0" borderId="98" xfId="0" applyFont="1" applyBorder="1" applyAlignment="1">
      <alignment horizontal="center" vertical="center" wrapText="1"/>
    </xf>
    <xf numFmtId="0" fontId="61" fillId="0" borderId="0" xfId="0" applyFont="1" applyAlignment="1">
      <alignment/>
    </xf>
    <xf numFmtId="49" fontId="10" fillId="0" borderId="2" xfId="0" applyNumberFormat="1" applyFont="1" applyFill="1" applyBorder="1" applyAlignment="1">
      <alignment horizontal="center" vertical="top" wrapText="1"/>
    </xf>
    <xf numFmtId="49" fontId="10" fillId="0" borderId="17" xfId="0" applyNumberFormat="1" applyFont="1" applyFill="1" applyBorder="1" applyAlignment="1">
      <alignment horizontal="center" vertical="top" wrapText="1"/>
    </xf>
    <xf numFmtId="49" fontId="10" fillId="0" borderId="22" xfId="0" applyNumberFormat="1" applyFont="1" applyFill="1" applyBorder="1" applyAlignment="1">
      <alignment horizontal="center" vertical="top" wrapText="1"/>
    </xf>
    <xf numFmtId="0" fontId="10" fillId="0" borderId="22" xfId="0" applyFont="1" applyFill="1" applyBorder="1" applyAlignment="1">
      <alignment vertical="top" wrapText="1"/>
    </xf>
    <xf numFmtId="3" fontId="10" fillId="0" borderId="22" xfId="0" applyNumberFormat="1" applyFont="1" applyFill="1" applyBorder="1" applyAlignment="1">
      <alignment vertical="top" wrapText="1"/>
    </xf>
    <xf numFmtId="49" fontId="10" fillId="0" borderId="3" xfId="0" applyNumberFormat="1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vertical="top" wrapText="1"/>
    </xf>
    <xf numFmtId="3" fontId="30" fillId="0" borderId="1" xfId="0" applyNumberFormat="1" applyFont="1" applyFill="1" applyBorder="1" applyAlignment="1">
      <alignment horizontal="right" vertical="center" wrapText="1"/>
    </xf>
    <xf numFmtId="3" fontId="0" fillId="0" borderId="2" xfId="0" applyNumberFormat="1" applyFont="1" applyFill="1" applyBorder="1" applyAlignment="1">
      <alignment/>
    </xf>
    <xf numFmtId="3" fontId="0" fillId="0" borderId="21" xfId="0" applyNumberFormat="1" applyFont="1" applyFill="1" applyBorder="1" applyAlignment="1">
      <alignment/>
    </xf>
    <xf numFmtId="3" fontId="0" fillId="0" borderId="3" xfId="0" applyNumberFormat="1" applyFont="1" applyFill="1" applyBorder="1" applyAlignment="1">
      <alignment/>
    </xf>
    <xf numFmtId="3" fontId="5" fillId="0" borderId="4" xfId="0" applyNumberFormat="1" applyFont="1" applyFill="1" applyBorder="1" applyAlignment="1">
      <alignment vertical="center"/>
    </xf>
    <xf numFmtId="3" fontId="0" fillId="0" borderId="4" xfId="0" applyNumberFormat="1" applyFill="1" applyBorder="1" applyAlignment="1">
      <alignment vertical="center"/>
    </xf>
    <xf numFmtId="3" fontId="0" fillId="0" borderId="4" xfId="0" applyNumberFormat="1" applyFill="1" applyBorder="1" applyAlignment="1">
      <alignment horizontal="center" vertical="center"/>
    </xf>
    <xf numFmtId="3" fontId="0" fillId="0" borderId="2" xfId="0" applyNumberFormat="1" applyFill="1" applyBorder="1" applyAlignment="1">
      <alignment horizontal="center" vertical="center"/>
    </xf>
    <xf numFmtId="3" fontId="0" fillId="0" borderId="21" xfId="0" applyNumberFormat="1" applyFill="1" applyBorder="1" applyAlignment="1">
      <alignment horizontal="center" vertical="center"/>
    </xf>
    <xf numFmtId="3" fontId="6" fillId="0" borderId="38" xfId="0" applyNumberFormat="1" applyFont="1" applyFill="1" applyBorder="1" applyAlignment="1">
      <alignment vertical="center"/>
    </xf>
    <xf numFmtId="175" fontId="6" fillId="0" borderId="33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top" wrapText="1"/>
    </xf>
    <xf numFmtId="175" fontId="0" fillId="0" borderId="100" xfId="0" applyNumberFormat="1" applyFill="1" applyBorder="1" applyAlignment="1">
      <alignment vertical="center"/>
    </xf>
    <xf numFmtId="175" fontId="0" fillId="0" borderId="36" xfId="0" applyNumberFormat="1" applyFill="1" applyBorder="1" applyAlignment="1">
      <alignment vertical="center"/>
    </xf>
    <xf numFmtId="175" fontId="0" fillId="0" borderId="101" xfId="0" applyNumberFormat="1" applyFill="1" applyBorder="1" applyAlignment="1">
      <alignment vertical="center"/>
    </xf>
    <xf numFmtId="0" fontId="8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 applyProtection="1">
      <alignment vertical="center"/>
      <protection locked="0"/>
    </xf>
    <xf numFmtId="0" fontId="27" fillId="0" borderId="0" xfId="0" applyFont="1" applyBorder="1" applyAlignment="1">
      <alignment vertical="center"/>
    </xf>
    <xf numFmtId="3" fontId="5" fillId="0" borderId="2" xfId="0" applyNumberFormat="1" applyFont="1" applyFill="1" applyBorder="1" applyAlignment="1">
      <alignment/>
    </xf>
    <xf numFmtId="0" fontId="20" fillId="0" borderId="4" xfId="0" applyFont="1" applyFill="1" applyBorder="1" applyAlignment="1">
      <alignment/>
    </xf>
    <xf numFmtId="0" fontId="8" fillId="0" borderId="2" xfId="0" applyFont="1" applyFill="1" applyBorder="1" applyAlignment="1">
      <alignment/>
    </xf>
    <xf numFmtId="0" fontId="8" fillId="0" borderId="3" xfId="0" applyFont="1" applyFill="1" applyBorder="1" applyAlignment="1">
      <alignment/>
    </xf>
    <xf numFmtId="0" fontId="20" fillId="0" borderId="20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3" fontId="0" fillId="0" borderId="4" xfId="0" applyNumberFormat="1" applyFont="1" applyFill="1" applyBorder="1" applyAlignment="1">
      <alignment/>
    </xf>
    <xf numFmtId="3" fontId="0" fillId="0" borderId="22" xfId="0" applyNumberFormat="1" applyFont="1" applyFill="1" applyBorder="1" applyAlignment="1">
      <alignment/>
    </xf>
    <xf numFmtId="0" fontId="8" fillId="0" borderId="22" xfId="0" applyFont="1" applyFill="1" applyBorder="1" applyAlignment="1">
      <alignment/>
    </xf>
    <xf numFmtId="49" fontId="5" fillId="0" borderId="12" xfId="0" applyNumberFormat="1" applyFont="1" applyFill="1" applyBorder="1" applyAlignment="1">
      <alignment horizontal="center" vertical="center" wrapText="1"/>
    </xf>
    <xf numFmtId="3" fontId="5" fillId="0" borderId="14" xfId="0" applyNumberFormat="1" applyFont="1" applyFill="1" applyBorder="1" applyAlignment="1">
      <alignment horizontal="center" vertical="center" wrapText="1"/>
    </xf>
    <xf numFmtId="3" fontId="0" fillId="0" borderId="36" xfId="0" applyNumberFormat="1" applyFont="1" applyFill="1" applyBorder="1" applyAlignment="1">
      <alignment/>
    </xf>
    <xf numFmtId="3" fontId="0" fillId="0" borderId="102" xfId="0" applyNumberFormat="1" applyFont="1" applyFill="1" applyBorder="1" applyAlignment="1">
      <alignment/>
    </xf>
    <xf numFmtId="3" fontId="0" fillId="0" borderId="44" xfId="0" applyNumberFormat="1" applyFont="1" applyFill="1" applyBorder="1" applyAlignment="1">
      <alignment/>
    </xf>
    <xf numFmtId="0" fontId="8" fillId="0" borderId="103" xfId="0" applyFont="1" applyFill="1" applyBorder="1" applyAlignment="1">
      <alignment horizontal="center"/>
    </xf>
    <xf numFmtId="3" fontId="0" fillId="0" borderId="104" xfId="0" applyNumberFormat="1" applyFont="1" applyFill="1" applyBorder="1" applyAlignment="1">
      <alignment/>
    </xf>
    <xf numFmtId="3" fontId="0" fillId="0" borderId="101" xfId="0" applyNumberFormat="1" applyFont="1" applyFill="1" applyBorder="1" applyAlignment="1">
      <alignment/>
    </xf>
    <xf numFmtId="3" fontId="5" fillId="0" borderId="36" xfId="0" applyNumberFormat="1" applyFont="1" applyFill="1" applyBorder="1" applyAlignment="1">
      <alignment/>
    </xf>
    <xf numFmtId="3" fontId="5" fillId="0" borderId="22" xfId="0" applyNumberFormat="1" applyFont="1" applyFill="1" applyBorder="1" applyAlignment="1">
      <alignment/>
    </xf>
    <xf numFmtId="3" fontId="5" fillId="0" borderId="101" xfId="0" applyNumberFormat="1" applyFont="1" applyFill="1" applyBorder="1" applyAlignment="1">
      <alignment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3" fontId="5" fillId="0" borderId="20" xfId="0" applyNumberFormat="1" applyFont="1" applyFill="1" applyBorder="1" applyAlignment="1">
      <alignment vertical="center"/>
    </xf>
    <xf numFmtId="0" fontId="8" fillId="0" borderId="2" xfId="0" applyFont="1" applyFill="1" applyBorder="1" applyAlignment="1">
      <alignment wrapText="1"/>
    </xf>
    <xf numFmtId="0" fontId="62" fillId="0" borderId="20" xfId="0" applyFont="1" applyFill="1" applyBorder="1" applyAlignment="1">
      <alignment/>
    </xf>
    <xf numFmtId="0" fontId="35" fillId="0" borderId="2" xfId="0" applyFont="1" applyFill="1" applyBorder="1" applyAlignment="1">
      <alignment/>
    </xf>
    <xf numFmtId="0" fontId="35" fillId="0" borderId="2" xfId="0" applyFont="1" applyFill="1" applyBorder="1" applyAlignment="1">
      <alignment wrapText="1"/>
    </xf>
    <xf numFmtId="0" fontId="35" fillId="0" borderId="3" xfId="0" applyFont="1" applyFill="1" applyBorder="1" applyAlignment="1">
      <alignment/>
    </xf>
    <xf numFmtId="3" fontId="5" fillId="0" borderId="68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1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/>
    </xf>
    <xf numFmtId="3" fontId="27" fillId="0" borderId="14" xfId="0" applyNumberFormat="1" applyFont="1" applyFill="1" applyBorder="1" applyAlignment="1">
      <alignment horizontal="center" vertical="center"/>
    </xf>
    <xf numFmtId="3" fontId="0" fillId="0" borderId="36" xfId="0" applyNumberFormat="1" applyFill="1" applyBorder="1" applyAlignment="1">
      <alignment vertical="center"/>
    </xf>
    <xf numFmtId="3" fontId="0" fillId="0" borderId="102" xfId="0" applyNumberFormat="1" applyFill="1" applyBorder="1" applyAlignment="1">
      <alignment vertical="center"/>
    </xf>
    <xf numFmtId="3" fontId="5" fillId="2" borderId="20" xfId="0" applyNumberFormat="1" applyFont="1" applyFill="1" applyBorder="1" applyAlignment="1">
      <alignment vertical="center"/>
    </xf>
    <xf numFmtId="0" fontId="5" fillId="0" borderId="105" xfId="0" applyFont="1" applyFill="1" applyBorder="1" applyAlignment="1">
      <alignment horizontal="center" vertical="center"/>
    </xf>
    <xf numFmtId="0" fontId="5" fillId="0" borderId="106" xfId="0" applyFont="1" applyFill="1" applyBorder="1" applyAlignment="1">
      <alignment horizontal="center" vertical="center"/>
    </xf>
    <xf numFmtId="0" fontId="5" fillId="0" borderId="107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vertical="center"/>
    </xf>
    <xf numFmtId="0" fontId="0" fillId="0" borderId="17" xfId="0" applyFont="1" applyBorder="1" applyAlignment="1">
      <alignment vertical="center" wrapText="1"/>
    </xf>
    <xf numFmtId="3" fontId="0" fillId="0" borderId="17" xfId="0" applyNumberFormat="1" applyFont="1" applyBorder="1" applyAlignment="1">
      <alignment vertical="center"/>
    </xf>
    <xf numFmtId="3" fontId="12" fillId="2" borderId="6" xfId="0" applyNumberFormat="1" applyFont="1" applyFill="1" applyBorder="1" applyAlignment="1">
      <alignment/>
    </xf>
    <xf numFmtId="3" fontId="6" fillId="2" borderId="5" xfId="0" applyNumberFormat="1" applyFont="1" applyFill="1" applyBorder="1" applyAlignment="1">
      <alignment/>
    </xf>
    <xf numFmtId="3" fontId="1" fillId="2" borderId="9" xfId="0" applyNumberFormat="1" applyFont="1" applyFill="1" applyBorder="1" applyAlignment="1">
      <alignment/>
    </xf>
    <xf numFmtId="3" fontId="12" fillId="2" borderId="8" xfId="0" applyNumberFormat="1" applyFont="1" applyFill="1" applyBorder="1" applyAlignment="1">
      <alignment/>
    </xf>
    <xf numFmtId="3" fontId="1" fillId="2" borderId="92" xfId="0" applyNumberFormat="1" applyFont="1" applyFill="1" applyBorder="1" applyAlignment="1">
      <alignment/>
    </xf>
    <xf numFmtId="3" fontId="12" fillId="2" borderId="96" xfId="0" applyNumberFormat="1" applyFont="1" applyFill="1" applyBorder="1" applyAlignment="1">
      <alignment/>
    </xf>
    <xf numFmtId="3" fontId="12" fillId="2" borderId="93" xfId="0" applyNumberFormat="1" applyFont="1" applyFill="1" applyBorder="1" applyAlignment="1">
      <alignment/>
    </xf>
    <xf numFmtId="3" fontId="1" fillId="2" borderId="6" xfId="0" applyNumberFormat="1" applyFont="1" applyFill="1" applyBorder="1" applyAlignment="1">
      <alignment/>
    </xf>
    <xf numFmtId="0" fontId="12" fillId="0" borderId="6" xfId="0" applyNumberFormat="1" applyFont="1" applyFill="1" applyBorder="1" applyAlignment="1" quotePrefix="1">
      <alignment horizontal="center" vertical="center"/>
    </xf>
    <xf numFmtId="3" fontId="10" fillId="2" borderId="2" xfId="0" applyNumberFormat="1" applyFont="1" applyFill="1" applyBorder="1" applyAlignment="1">
      <alignment vertical="top" wrapText="1"/>
    </xf>
    <xf numFmtId="49" fontId="10" fillId="2" borderId="20" xfId="0" applyNumberFormat="1" applyFont="1" applyFill="1" applyBorder="1" applyAlignment="1">
      <alignment horizontal="center" vertical="top" wrapText="1"/>
    </xf>
    <xf numFmtId="0" fontId="10" fillId="2" borderId="20" xfId="0" applyFont="1" applyFill="1" applyBorder="1" applyAlignment="1">
      <alignment vertical="top" wrapText="1"/>
    </xf>
    <xf numFmtId="49" fontId="10" fillId="2" borderId="17" xfId="0" applyNumberFormat="1" applyFont="1" applyFill="1" applyBorder="1" applyAlignment="1">
      <alignment horizontal="center" vertical="top" wrapText="1"/>
    </xf>
    <xf numFmtId="0" fontId="10" fillId="2" borderId="17" xfId="0" applyFont="1" applyFill="1" applyBorder="1" applyAlignment="1">
      <alignment vertical="top" wrapText="1"/>
    </xf>
    <xf numFmtId="3" fontId="10" fillId="2" borderId="21" xfId="0" applyNumberFormat="1" applyFont="1" applyFill="1" applyBorder="1" applyAlignment="1">
      <alignment vertical="top" wrapText="1"/>
    </xf>
    <xf numFmtId="49" fontId="10" fillId="2" borderId="2" xfId="0" applyNumberFormat="1" applyFont="1" applyFill="1" applyBorder="1" applyAlignment="1">
      <alignment horizontal="center" vertical="top" wrapText="1"/>
    </xf>
    <xf numFmtId="49" fontId="10" fillId="2" borderId="2" xfId="0" applyNumberFormat="1" applyFont="1" applyFill="1" applyBorder="1" applyAlignment="1">
      <alignment vertical="top" wrapText="1"/>
    </xf>
    <xf numFmtId="0" fontId="10" fillId="2" borderId="2" xfId="0" applyFont="1" applyFill="1" applyBorder="1" applyAlignment="1">
      <alignment vertical="top" wrapText="1"/>
    </xf>
    <xf numFmtId="3" fontId="0" fillId="2" borderId="73" xfId="0" applyNumberFormat="1" applyFont="1" applyFill="1" applyBorder="1" applyAlignment="1">
      <alignment horizontal="right" vertical="center"/>
    </xf>
    <xf numFmtId="4" fontId="6" fillId="0" borderId="54" xfId="0" applyNumberFormat="1" applyFont="1" applyFill="1" applyBorder="1" applyAlignment="1">
      <alignment horizontal="right" vertical="center"/>
    </xf>
    <xf numFmtId="0" fontId="34" fillId="2" borderId="2" xfId="0" applyFont="1" applyFill="1" applyBorder="1" applyAlignment="1">
      <alignment horizontal="center" vertical="top" wrapText="1"/>
    </xf>
    <xf numFmtId="0" fontId="34" fillId="2" borderId="2" xfId="0" applyFont="1" applyFill="1" applyBorder="1" applyAlignment="1">
      <alignment vertical="top" wrapText="1"/>
    </xf>
    <xf numFmtId="0" fontId="17" fillId="2" borderId="2" xfId="0" applyFont="1" applyFill="1" applyBorder="1" applyAlignment="1">
      <alignment vertical="top" wrapText="1"/>
    </xf>
    <xf numFmtId="0" fontId="17" fillId="2" borderId="2" xfId="0" applyFont="1" applyFill="1" applyBorder="1" applyAlignment="1">
      <alignment horizontal="center" vertical="top" wrapText="1"/>
    </xf>
    <xf numFmtId="0" fontId="10" fillId="2" borderId="2" xfId="0" applyFont="1" applyFill="1" applyBorder="1" applyAlignment="1">
      <alignment horizontal="center" vertical="top" wrapText="1"/>
    </xf>
    <xf numFmtId="49" fontId="21" fillId="2" borderId="20" xfId="0" applyNumberFormat="1" applyFont="1" applyFill="1" applyBorder="1" applyAlignment="1">
      <alignment horizontal="center" vertical="top" wrapText="1"/>
    </xf>
    <xf numFmtId="49" fontId="21" fillId="2" borderId="20" xfId="0" applyNumberFormat="1" applyFont="1" applyFill="1" applyBorder="1" applyAlignment="1">
      <alignment vertical="top" wrapText="1"/>
    </xf>
    <xf numFmtId="0" fontId="21" fillId="2" borderId="20" xfId="0" applyFont="1" applyFill="1" applyBorder="1" applyAlignment="1">
      <alignment vertical="top" wrapText="1"/>
    </xf>
    <xf numFmtId="0" fontId="0" fillId="2" borderId="3" xfId="0" applyFill="1" applyBorder="1" applyAlignment="1">
      <alignment vertical="center"/>
    </xf>
    <xf numFmtId="0" fontId="0" fillId="2" borderId="3" xfId="0" applyFill="1" applyBorder="1" applyAlignment="1">
      <alignment horizontal="center" vertical="center"/>
    </xf>
    <xf numFmtId="3" fontId="0" fillId="2" borderId="3" xfId="0" applyNumberFormat="1" applyFill="1" applyBorder="1" applyAlignment="1">
      <alignment vertical="center"/>
    </xf>
    <xf numFmtId="3" fontId="10" fillId="2" borderId="3" xfId="0" applyNumberFormat="1" applyFont="1" applyFill="1" applyBorder="1" applyAlignment="1">
      <alignment vertical="top" wrapText="1"/>
    </xf>
    <xf numFmtId="0" fontId="0" fillId="2" borderId="0" xfId="0" applyFont="1" applyFill="1" applyAlignment="1">
      <alignment/>
    </xf>
    <xf numFmtId="3" fontId="0" fillId="0" borderId="2" xfId="0" applyNumberFormat="1" applyFont="1" applyFill="1" applyBorder="1" applyAlignment="1">
      <alignment vertical="center"/>
    </xf>
    <xf numFmtId="3" fontId="0" fillId="0" borderId="36" xfId="0" applyNumberFormat="1" applyFont="1" applyFill="1" applyBorder="1" applyAlignment="1">
      <alignment vertical="center"/>
    </xf>
    <xf numFmtId="3" fontId="0" fillId="0" borderId="3" xfId="0" applyNumberFormat="1" applyFont="1" applyFill="1" applyBorder="1" applyAlignment="1">
      <alignment vertical="center"/>
    </xf>
    <xf numFmtId="3" fontId="0" fillId="0" borderId="102" xfId="0" applyNumberFormat="1" applyFont="1" applyFill="1" applyBorder="1" applyAlignment="1">
      <alignment vertical="center"/>
    </xf>
    <xf numFmtId="3" fontId="0" fillId="0" borderId="2" xfId="0" applyNumberFormat="1" applyFont="1" applyFill="1" applyBorder="1" applyAlignment="1">
      <alignment vertical="center"/>
    </xf>
    <xf numFmtId="3" fontId="0" fillId="0" borderId="36" xfId="0" applyNumberFormat="1" applyFont="1" applyFill="1" applyBorder="1" applyAlignment="1">
      <alignment vertical="center"/>
    </xf>
    <xf numFmtId="3" fontId="0" fillId="0" borderId="3" xfId="0" applyNumberFormat="1" applyFont="1" applyFill="1" applyBorder="1" applyAlignment="1">
      <alignment vertical="center"/>
    </xf>
    <xf numFmtId="3" fontId="0" fillId="0" borderId="102" xfId="0" applyNumberFormat="1" applyFont="1" applyFill="1" applyBorder="1" applyAlignment="1">
      <alignment vertical="center"/>
    </xf>
    <xf numFmtId="3" fontId="10" fillId="2" borderId="17" xfId="0" applyNumberFormat="1" applyFont="1" applyFill="1" applyBorder="1" applyAlignment="1">
      <alignment vertical="top" wrapText="1"/>
    </xf>
    <xf numFmtId="0" fontId="10" fillId="4" borderId="2" xfId="0" applyFont="1" applyFill="1" applyBorder="1" applyAlignment="1">
      <alignment vertical="top" wrapText="1"/>
    </xf>
    <xf numFmtId="3" fontId="10" fillId="4" borderId="2" xfId="0" applyNumberFormat="1" applyFont="1" applyFill="1" applyBorder="1" applyAlignment="1">
      <alignment vertical="top" wrapText="1"/>
    </xf>
    <xf numFmtId="49" fontId="21" fillId="2" borderId="2" xfId="0" applyNumberFormat="1" applyFont="1" applyFill="1" applyBorder="1" applyAlignment="1">
      <alignment horizontal="center" vertical="top" wrapText="1"/>
    </xf>
    <xf numFmtId="0" fontId="21" fillId="2" borderId="2" xfId="0" applyFont="1" applyFill="1" applyBorder="1" applyAlignment="1">
      <alignment vertical="top" wrapText="1"/>
    </xf>
    <xf numFmtId="3" fontId="21" fillId="2" borderId="2" xfId="0" applyNumberFormat="1" applyFont="1" applyFill="1" applyBorder="1" applyAlignment="1">
      <alignment vertical="top" wrapText="1"/>
    </xf>
    <xf numFmtId="3" fontId="10" fillId="2" borderId="0" xfId="0" applyNumberFormat="1" applyFont="1" applyFill="1" applyAlignment="1">
      <alignment/>
    </xf>
    <xf numFmtId="3" fontId="13" fillId="2" borderId="0" xfId="0" applyNumberFormat="1" applyFont="1" applyFill="1" applyAlignment="1">
      <alignment/>
    </xf>
    <xf numFmtId="0" fontId="21" fillId="2" borderId="21" xfId="0" applyFont="1" applyFill="1" applyBorder="1" applyAlignment="1">
      <alignment horizontal="center" vertical="top" wrapText="1"/>
    </xf>
    <xf numFmtId="0" fontId="21" fillId="2" borderId="21" xfId="0" applyFont="1" applyFill="1" applyBorder="1" applyAlignment="1">
      <alignment vertical="top" wrapText="1"/>
    </xf>
    <xf numFmtId="3" fontId="13" fillId="0" borderId="0" xfId="0" applyNumberFormat="1" applyFont="1" applyFill="1" applyAlignment="1">
      <alignment/>
    </xf>
    <xf numFmtId="49" fontId="21" fillId="2" borderId="2" xfId="0" applyNumberFormat="1" applyFont="1" applyFill="1" applyBorder="1" applyAlignment="1">
      <alignment vertical="top" wrapText="1"/>
    </xf>
    <xf numFmtId="3" fontId="21" fillId="2" borderId="0" xfId="0" applyNumberFormat="1" applyFont="1" applyFill="1" applyAlignment="1">
      <alignment/>
    </xf>
    <xf numFmtId="3" fontId="63" fillId="2" borderId="0" xfId="0" applyNumberFormat="1" applyFont="1" applyFill="1" applyAlignment="1">
      <alignment/>
    </xf>
    <xf numFmtId="0" fontId="21" fillId="2" borderId="0" xfId="0" applyFont="1" applyFill="1" applyAlignment="1">
      <alignment/>
    </xf>
    <xf numFmtId="3" fontId="21" fillId="2" borderId="21" xfId="0" applyNumberFormat="1" applyFont="1" applyFill="1" applyBorder="1" applyAlignment="1">
      <alignment vertical="top" wrapText="1"/>
    </xf>
    <xf numFmtId="0" fontId="21" fillId="4" borderId="2" xfId="0" applyFont="1" applyFill="1" applyBorder="1" applyAlignment="1">
      <alignment horizontal="center" vertical="top" wrapText="1"/>
    </xf>
    <xf numFmtId="0" fontId="21" fillId="4" borderId="2" xfId="0" applyFont="1" applyFill="1" applyBorder="1" applyAlignment="1">
      <alignment vertical="top" wrapText="1"/>
    </xf>
    <xf numFmtId="2" fontId="21" fillId="2" borderId="2" xfId="0" applyNumberFormat="1" applyFont="1" applyFill="1" applyBorder="1" applyAlignment="1">
      <alignment horizontal="center" vertical="top" wrapText="1"/>
    </xf>
    <xf numFmtId="0" fontId="21" fillId="2" borderId="2" xfId="0" applyFont="1" applyFill="1" applyBorder="1" applyAlignment="1">
      <alignment horizontal="center" vertical="top" wrapText="1"/>
    </xf>
    <xf numFmtId="0" fontId="12" fillId="2" borderId="8" xfId="0" applyNumberFormat="1" applyFont="1" applyFill="1" applyBorder="1" applyAlignment="1">
      <alignment horizontal="center" vertical="center"/>
    </xf>
    <xf numFmtId="0" fontId="12" fillId="2" borderId="6" xfId="0" applyNumberFormat="1" applyFont="1" applyFill="1" applyBorder="1" applyAlignment="1">
      <alignment horizontal="center" vertical="center"/>
    </xf>
    <xf numFmtId="0" fontId="12" fillId="2" borderId="6" xfId="0" applyNumberFormat="1" applyFont="1" applyFill="1" applyBorder="1" applyAlignment="1">
      <alignment wrapText="1"/>
    </xf>
    <xf numFmtId="0" fontId="0" fillId="0" borderId="88" xfId="0" applyFont="1" applyBorder="1" applyAlignment="1">
      <alignment vertical="center"/>
    </xf>
    <xf numFmtId="0" fontId="0" fillId="0" borderId="88" xfId="0" applyFont="1" applyBorder="1" applyAlignment="1">
      <alignment vertical="center" wrapText="1"/>
    </xf>
    <xf numFmtId="3" fontId="0" fillId="0" borderId="88" xfId="0" applyNumberFormat="1" applyFont="1" applyBorder="1" applyAlignment="1">
      <alignment vertical="center"/>
    </xf>
    <xf numFmtId="0" fontId="0" fillId="2" borderId="41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/>
    </xf>
    <xf numFmtId="0" fontId="33" fillId="2" borderId="18" xfId="0" applyFont="1" applyFill="1" applyBorder="1" applyAlignment="1">
      <alignment horizontal="left" vertical="center" wrapText="1"/>
    </xf>
    <xf numFmtId="3" fontId="33" fillId="2" borderId="46" xfId="0" applyNumberFormat="1" applyFont="1" applyFill="1" applyBorder="1" applyAlignment="1">
      <alignment horizontal="center" vertical="center"/>
    </xf>
    <xf numFmtId="3" fontId="12" fillId="2" borderId="42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0" fillId="2" borderId="49" xfId="0" applyFont="1" applyFill="1" applyBorder="1" applyAlignment="1">
      <alignment horizontal="center" vertical="center"/>
    </xf>
    <xf numFmtId="0" fontId="0" fillId="2" borderId="50" xfId="0" applyFont="1" applyFill="1" applyBorder="1" applyAlignment="1">
      <alignment horizontal="center" vertical="center"/>
    </xf>
    <xf numFmtId="0" fontId="33" fillId="2" borderId="51" xfId="0" applyFont="1" applyFill="1" applyBorder="1" applyAlignment="1">
      <alignment horizontal="left" vertical="center" wrapText="1"/>
    </xf>
    <xf numFmtId="3" fontId="33" fillId="2" borderId="108" xfId="0" applyNumberFormat="1" applyFont="1" applyFill="1" applyBorder="1" applyAlignment="1">
      <alignment horizontal="center" vertical="center"/>
    </xf>
    <xf numFmtId="3" fontId="12" fillId="2" borderId="109" xfId="0" applyNumberFormat="1" applyFont="1" applyFill="1" applyBorder="1" applyAlignment="1">
      <alignment horizontal="center" vertical="center"/>
    </xf>
    <xf numFmtId="49" fontId="21" fillId="2" borderId="17" xfId="0" applyNumberFormat="1" applyFont="1" applyFill="1" applyBorder="1" applyAlignment="1">
      <alignment vertical="top" wrapText="1"/>
    </xf>
    <xf numFmtId="49" fontId="21" fillId="2" borderId="17" xfId="0" applyNumberFormat="1" applyFont="1" applyFill="1" applyBorder="1" applyAlignment="1">
      <alignment horizontal="center" vertical="top" wrapText="1"/>
    </xf>
    <xf numFmtId="49" fontId="21" fillId="2" borderId="22" xfId="0" applyNumberFormat="1" applyFont="1" applyFill="1" applyBorder="1" applyAlignment="1">
      <alignment vertical="top" wrapText="1"/>
    </xf>
    <xf numFmtId="49" fontId="21" fillId="2" borderId="22" xfId="0" applyNumberFormat="1" applyFont="1" applyFill="1" applyBorder="1" applyAlignment="1">
      <alignment horizontal="center" vertical="top" wrapText="1"/>
    </xf>
    <xf numFmtId="0" fontId="21" fillId="2" borderId="22" xfId="0" applyFont="1" applyFill="1" applyBorder="1" applyAlignment="1">
      <alignment vertical="top" wrapText="1"/>
    </xf>
    <xf numFmtId="3" fontId="64" fillId="2" borderId="0" xfId="0" applyNumberFormat="1" applyFont="1" applyFill="1" applyAlignment="1">
      <alignment/>
    </xf>
    <xf numFmtId="3" fontId="65" fillId="2" borderId="0" xfId="0" applyNumberFormat="1" applyFont="1" applyFill="1" applyAlignment="1">
      <alignment/>
    </xf>
    <xf numFmtId="3" fontId="21" fillId="2" borderId="20" xfId="0" applyNumberFormat="1" applyFont="1" applyFill="1" applyBorder="1" applyAlignment="1">
      <alignment vertical="top" wrapText="1"/>
    </xf>
    <xf numFmtId="3" fontId="63" fillId="2" borderId="1" xfId="0" applyNumberFormat="1" applyFont="1" applyFill="1" applyBorder="1" applyAlignment="1">
      <alignment vertical="top" wrapText="1"/>
    </xf>
    <xf numFmtId="3" fontId="21" fillId="2" borderId="1" xfId="0" applyNumberFormat="1" applyFont="1" applyFill="1" applyBorder="1" applyAlignment="1">
      <alignment vertical="top" wrapText="1"/>
    </xf>
    <xf numFmtId="0" fontId="21" fillId="2" borderId="20" xfId="0" applyFont="1" applyFill="1" applyBorder="1" applyAlignment="1">
      <alignment horizontal="center" vertical="top" wrapText="1"/>
    </xf>
    <xf numFmtId="3" fontId="21" fillId="4" borderId="2" xfId="0" applyNumberFormat="1" applyFont="1" applyFill="1" applyBorder="1" applyAlignment="1">
      <alignment vertical="top" wrapText="1"/>
    </xf>
    <xf numFmtId="3" fontId="64" fillId="4" borderId="0" xfId="0" applyNumberFormat="1" applyFont="1" applyFill="1" applyAlignment="1">
      <alignment/>
    </xf>
    <xf numFmtId="3" fontId="65" fillId="4" borderId="0" xfId="0" applyNumberFormat="1" applyFont="1" applyFill="1" applyAlignment="1">
      <alignment/>
    </xf>
    <xf numFmtId="0" fontId="21" fillId="4" borderId="0" xfId="0" applyFont="1" applyFill="1" applyAlignment="1">
      <alignment/>
    </xf>
    <xf numFmtId="49" fontId="63" fillId="2" borderId="20" xfId="0" applyNumberFormat="1" applyFont="1" applyFill="1" applyBorder="1" applyAlignment="1">
      <alignment vertical="top" wrapText="1"/>
    </xf>
    <xf numFmtId="49" fontId="21" fillId="2" borderId="21" xfId="0" applyNumberFormat="1" applyFont="1" applyFill="1" applyBorder="1" applyAlignment="1">
      <alignment vertical="top" wrapText="1"/>
    </xf>
    <xf numFmtId="49" fontId="21" fillId="2" borderId="21" xfId="0" applyNumberFormat="1" applyFont="1" applyFill="1" applyBorder="1" applyAlignment="1">
      <alignment horizontal="center" vertical="top" wrapText="1"/>
    </xf>
    <xf numFmtId="3" fontId="21" fillId="0" borderId="50" xfId="0" applyNumberFormat="1" applyFont="1" applyFill="1" applyBorder="1" applyAlignment="1">
      <alignment vertical="top" wrapText="1"/>
    </xf>
    <xf numFmtId="3" fontId="21" fillId="4" borderId="20" xfId="0" applyNumberFormat="1" applyFont="1" applyFill="1" applyBorder="1" applyAlignment="1">
      <alignment vertical="top" wrapText="1"/>
    </xf>
    <xf numFmtId="49" fontId="21" fillId="4" borderId="17" xfId="0" applyNumberFormat="1" applyFont="1" applyFill="1" applyBorder="1" applyAlignment="1">
      <alignment vertical="top" wrapText="1"/>
    </xf>
    <xf numFmtId="0" fontId="21" fillId="4" borderId="20" xfId="0" applyFont="1" applyFill="1" applyBorder="1" applyAlignment="1">
      <alignment vertical="top" wrapText="1"/>
    </xf>
    <xf numFmtId="3" fontId="66" fillId="2" borderId="21" xfId="0" applyNumberFormat="1" applyFont="1" applyFill="1" applyBorder="1" applyAlignment="1">
      <alignment vertical="top" wrapText="1"/>
    </xf>
    <xf numFmtId="49" fontId="66" fillId="2" borderId="21" xfId="0" applyNumberFormat="1" applyFont="1" applyFill="1" applyBorder="1" applyAlignment="1">
      <alignment vertical="top" wrapText="1"/>
    </xf>
    <xf numFmtId="0" fontId="66" fillId="2" borderId="21" xfId="0" applyFont="1" applyFill="1" applyBorder="1" applyAlignment="1">
      <alignment vertical="top" wrapText="1"/>
    </xf>
    <xf numFmtId="0" fontId="66" fillId="2" borderId="21" xfId="0" applyFont="1" applyFill="1" applyBorder="1" applyAlignment="1">
      <alignment horizontal="center" vertical="top" wrapText="1"/>
    </xf>
    <xf numFmtId="0" fontId="66" fillId="4" borderId="2" xfId="0" applyFont="1" applyFill="1" applyBorder="1" applyAlignment="1">
      <alignment vertical="top" wrapText="1"/>
    </xf>
    <xf numFmtId="3" fontId="11" fillId="4" borderId="2" xfId="0" applyNumberFormat="1" applyFont="1" applyFill="1" applyBorder="1" applyAlignment="1">
      <alignment vertical="top" wrapText="1"/>
    </xf>
    <xf numFmtId="0" fontId="66" fillId="2" borderId="2" xfId="0" applyFont="1" applyFill="1" applyBorder="1" applyAlignment="1">
      <alignment vertical="top" wrapText="1"/>
    </xf>
    <xf numFmtId="3" fontId="66" fillId="4" borderId="2" xfId="0" applyNumberFormat="1" applyFont="1" applyFill="1" applyBorder="1" applyAlignment="1">
      <alignment vertical="top" wrapText="1"/>
    </xf>
    <xf numFmtId="3" fontId="66" fillId="2" borderId="2" xfId="0" applyNumberFormat="1" applyFont="1" applyFill="1" applyBorder="1" applyAlignment="1">
      <alignment vertical="top" wrapText="1"/>
    </xf>
    <xf numFmtId="49" fontId="66" fillId="2" borderId="20" xfId="0" applyNumberFormat="1" applyFont="1" applyFill="1" applyBorder="1" applyAlignment="1">
      <alignment vertical="top" wrapText="1"/>
    </xf>
    <xf numFmtId="0" fontId="66" fillId="2" borderId="20" xfId="0" applyFont="1" applyFill="1" applyBorder="1" applyAlignment="1">
      <alignment vertical="top" wrapText="1"/>
    </xf>
    <xf numFmtId="3" fontId="11" fillId="2" borderId="2" xfId="0" applyNumberFormat="1" applyFont="1" applyFill="1" applyBorder="1" applyAlignment="1">
      <alignment vertical="top" wrapText="1"/>
    </xf>
    <xf numFmtId="49" fontId="11" fillId="2" borderId="20" xfId="0" applyNumberFormat="1" applyFont="1" applyFill="1" applyBorder="1" applyAlignment="1">
      <alignment vertical="top" wrapText="1"/>
    </xf>
    <xf numFmtId="0" fontId="11" fillId="2" borderId="20" xfId="0" applyFont="1" applyFill="1" applyBorder="1" applyAlignment="1">
      <alignment vertical="top" wrapText="1"/>
    </xf>
    <xf numFmtId="49" fontId="11" fillId="4" borderId="20" xfId="0" applyNumberFormat="1" applyFont="1" applyFill="1" applyBorder="1" applyAlignment="1">
      <alignment horizontal="center" vertical="top" wrapText="1"/>
    </xf>
    <xf numFmtId="49" fontId="11" fillId="4" borderId="20" xfId="0" applyNumberFormat="1" applyFont="1" applyFill="1" applyBorder="1" applyAlignment="1">
      <alignment vertical="top" wrapText="1"/>
    </xf>
    <xf numFmtId="0" fontId="11" fillId="4" borderId="20" xfId="0" applyFont="1" applyFill="1" applyBorder="1" applyAlignment="1">
      <alignment vertical="top" wrapText="1"/>
    </xf>
    <xf numFmtId="49" fontId="66" fillId="2" borderId="2" xfId="0" applyNumberFormat="1" applyFont="1" applyFill="1" applyBorder="1" applyAlignment="1">
      <alignment vertical="top" wrapText="1"/>
    </xf>
    <xf numFmtId="3" fontId="66" fillId="2" borderId="20" xfId="0" applyNumberFormat="1" applyFont="1" applyFill="1" applyBorder="1" applyAlignment="1">
      <alignment vertical="top" wrapText="1"/>
    </xf>
    <xf numFmtId="0" fontId="66" fillId="4" borderId="2" xfId="0" applyFont="1" applyFill="1" applyBorder="1" applyAlignment="1">
      <alignment horizontal="center" vertical="top" wrapText="1"/>
    </xf>
    <xf numFmtId="49" fontId="10" fillId="5" borderId="20" xfId="0" applyNumberFormat="1" applyFont="1" applyFill="1" applyBorder="1" applyAlignment="1">
      <alignment horizontal="center" vertical="top" wrapText="1"/>
    </xf>
    <xf numFmtId="0" fontId="21" fillId="5" borderId="2" xfId="0" applyFont="1" applyFill="1" applyBorder="1" applyAlignment="1">
      <alignment horizontal="center" vertical="top" wrapText="1"/>
    </xf>
    <xf numFmtId="49" fontId="21" fillId="5" borderId="20" xfId="0" applyNumberFormat="1" applyFont="1" applyFill="1" applyBorder="1" applyAlignment="1">
      <alignment horizontal="center" vertical="top" wrapText="1"/>
    </xf>
    <xf numFmtId="49" fontId="66" fillId="2" borderId="20" xfId="0" applyNumberFormat="1" applyFont="1" applyFill="1" applyBorder="1" applyAlignment="1">
      <alignment horizontal="center" vertical="top" wrapText="1"/>
    </xf>
    <xf numFmtId="49" fontId="21" fillId="5" borderId="2" xfId="0" applyNumberFormat="1" applyFont="1" applyFill="1" applyBorder="1" applyAlignment="1">
      <alignment vertical="top" wrapText="1"/>
    </xf>
    <xf numFmtId="49" fontId="13" fillId="0" borderId="17" xfId="0" applyNumberFormat="1" applyFont="1" applyFill="1" applyBorder="1" applyAlignment="1">
      <alignment vertical="top" wrapText="1"/>
    </xf>
    <xf numFmtId="49" fontId="13" fillId="0" borderId="50" xfId="0" applyNumberFormat="1" applyFont="1" applyFill="1" applyBorder="1" applyAlignment="1">
      <alignment vertical="top" wrapText="1"/>
    </xf>
    <xf numFmtId="49" fontId="13" fillId="0" borderId="2" xfId="0" applyNumberFormat="1" applyFont="1" applyFill="1" applyBorder="1" applyAlignment="1">
      <alignment vertical="top" wrapText="1"/>
    </xf>
    <xf numFmtId="3" fontId="10" fillId="2" borderId="20" xfId="0" applyNumberFormat="1" applyFont="1" applyFill="1" applyBorder="1" applyAlignment="1">
      <alignment vertical="top" wrapText="1"/>
    </xf>
    <xf numFmtId="3" fontId="10" fillId="2" borderId="30" xfId="0" applyNumberFormat="1" applyFont="1" applyFill="1" applyBorder="1" applyAlignment="1">
      <alignment vertical="top" wrapText="1"/>
    </xf>
    <xf numFmtId="172" fontId="0" fillId="2" borderId="20" xfId="0" applyNumberFormat="1" applyFill="1" applyBorder="1" applyAlignment="1">
      <alignment horizontal="right" vertical="top"/>
    </xf>
    <xf numFmtId="0" fontId="17" fillId="2" borderId="20" xfId="0" applyFont="1" applyFill="1" applyBorder="1" applyAlignment="1">
      <alignment vertical="top" wrapText="1"/>
    </xf>
    <xf numFmtId="3" fontId="17" fillId="2" borderId="2" xfId="0" applyNumberFormat="1" applyFont="1" applyFill="1" applyBorder="1" applyAlignment="1">
      <alignment vertical="top" wrapText="1"/>
    </xf>
    <xf numFmtId="3" fontId="17" fillId="2" borderId="30" xfId="0" applyNumberFormat="1" applyFont="1" applyFill="1" applyBorder="1" applyAlignment="1">
      <alignment vertical="top" wrapText="1"/>
    </xf>
    <xf numFmtId="172" fontId="35" fillId="2" borderId="2" xfId="0" applyNumberFormat="1" applyFont="1" applyFill="1" applyBorder="1" applyAlignment="1">
      <alignment horizontal="right" vertical="top"/>
    </xf>
    <xf numFmtId="49" fontId="17" fillId="2" borderId="17" xfId="0" applyNumberFormat="1" applyFont="1" applyFill="1" applyBorder="1" applyAlignment="1">
      <alignment vertical="top" wrapText="1"/>
    </xf>
    <xf numFmtId="0" fontId="17" fillId="2" borderId="17" xfId="0" applyFont="1" applyFill="1" applyBorder="1" applyAlignment="1">
      <alignment vertical="top" wrapText="1"/>
    </xf>
    <xf numFmtId="3" fontId="17" fillId="2" borderId="21" xfId="0" applyNumberFormat="1" applyFont="1" applyFill="1" applyBorder="1" applyAlignment="1">
      <alignment vertical="top" wrapText="1"/>
    </xf>
    <xf numFmtId="3" fontId="17" fillId="2" borderId="18" xfId="0" applyNumberFormat="1" applyFont="1" applyFill="1" applyBorder="1" applyAlignment="1">
      <alignment vertical="top" wrapText="1"/>
    </xf>
    <xf numFmtId="172" fontId="35" fillId="2" borderId="21" xfId="0" applyNumberFormat="1" applyFont="1" applyFill="1" applyBorder="1" applyAlignment="1">
      <alignment horizontal="right" vertical="top"/>
    </xf>
    <xf numFmtId="172" fontId="35" fillId="2" borderId="22" xfId="0" applyNumberFormat="1" applyFont="1" applyFill="1" applyBorder="1" applyAlignment="1">
      <alignment horizontal="right" vertical="top"/>
    </xf>
    <xf numFmtId="49" fontId="21" fillId="2" borderId="2" xfId="0" applyNumberFormat="1" applyFont="1" applyFill="1" applyBorder="1" applyAlignment="1">
      <alignment horizontal="right" vertical="top" wrapText="1"/>
    </xf>
    <xf numFmtId="172" fontId="0" fillId="2" borderId="2" xfId="0" applyNumberFormat="1" applyFill="1" applyBorder="1" applyAlignment="1">
      <alignment horizontal="right" vertical="top"/>
    </xf>
    <xf numFmtId="49" fontId="21" fillId="0" borderId="28" xfId="0" applyNumberFormat="1" applyFont="1" applyFill="1" applyBorder="1" applyAlignment="1">
      <alignment horizontal="right" vertical="top" wrapText="1"/>
    </xf>
    <xf numFmtId="49" fontId="21" fillId="0" borderId="28" xfId="0" applyNumberFormat="1" applyFont="1" applyFill="1" applyBorder="1" applyAlignment="1">
      <alignment vertical="top" wrapText="1"/>
    </xf>
    <xf numFmtId="0" fontId="21" fillId="0" borderId="28" xfId="0" applyFont="1" applyFill="1" applyBorder="1" applyAlignment="1">
      <alignment vertical="top" wrapText="1"/>
    </xf>
    <xf numFmtId="3" fontId="21" fillId="0" borderId="28" xfId="0" applyNumberFormat="1" applyFont="1" applyFill="1" applyBorder="1" applyAlignment="1">
      <alignment vertical="top" wrapText="1"/>
    </xf>
    <xf numFmtId="172" fontId="12" fillId="0" borderId="28" xfId="0" applyNumberFormat="1" applyFont="1" applyFill="1" applyBorder="1" applyAlignment="1">
      <alignment horizontal="right" vertical="top"/>
    </xf>
    <xf numFmtId="0" fontId="0" fillId="2" borderId="20" xfId="0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vertical="center"/>
    </xf>
    <xf numFmtId="3" fontId="0" fillId="2" borderId="20" xfId="0" applyNumberFormat="1" applyFont="1" applyFill="1" applyBorder="1" applyAlignment="1">
      <alignment vertical="center"/>
    </xf>
    <xf numFmtId="0" fontId="0" fillId="2" borderId="2" xfId="0" applyFont="1" applyFill="1" applyBorder="1" applyAlignment="1">
      <alignment vertical="center"/>
    </xf>
    <xf numFmtId="0" fontId="12" fillId="2" borderId="2" xfId="0" applyFont="1" applyFill="1" applyBorder="1" applyAlignment="1">
      <alignment vertical="center" wrapText="1"/>
    </xf>
    <xf numFmtId="3" fontId="12" fillId="2" borderId="2" xfId="0" applyNumberFormat="1" applyFont="1" applyFill="1" applyBorder="1" applyAlignment="1">
      <alignment vertical="center"/>
    </xf>
    <xf numFmtId="3" fontId="12" fillId="2" borderId="2" xfId="0" applyNumberFormat="1" applyFont="1" applyFill="1" applyBorder="1" applyAlignment="1">
      <alignment horizontal="center" vertical="center"/>
    </xf>
    <xf numFmtId="0" fontId="21" fillId="6" borderId="2" xfId="0" applyFont="1" applyFill="1" applyBorder="1" applyAlignment="1">
      <alignment horizontal="center" vertical="top" wrapText="1"/>
    </xf>
    <xf numFmtId="49" fontId="66" fillId="0" borderId="2" xfId="0" applyNumberFormat="1" applyFont="1" applyFill="1" applyBorder="1" applyAlignment="1">
      <alignment horizontal="center" vertical="top" wrapText="1"/>
    </xf>
    <xf numFmtId="0" fontId="21" fillId="0" borderId="2" xfId="0" applyFont="1" applyFill="1" applyBorder="1" applyAlignment="1">
      <alignment horizontal="center" vertical="top" wrapText="1"/>
    </xf>
    <xf numFmtId="49" fontId="21" fillId="5" borderId="20" xfId="0" applyNumberFormat="1" applyFont="1" applyFill="1" applyBorder="1" applyAlignment="1">
      <alignment vertical="top" wrapText="1"/>
    </xf>
    <xf numFmtId="0" fontId="10" fillId="5" borderId="2" xfId="0" applyFont="1" applyFill="1" applyBorder="1" applyAlignment="1">
      <alignment vertical="top" wrapText="1"/>
    </xf>
    <xf numFmtId="3" fontId="67" fillId="2" borderId="1" xfId="0" applyNumberFormat="1" applyFont="1" applyFill="1" applyBorder="1" applyAlignment="1">
      <alignment vertical="top" wrapText="1"/>
    </xf>
    <xf numFmtId="49" fontId="68" fillId="4" borderId="20" xfId="0" applyNumberFormat="1" applyFont="1" applyFill="1" applyBorder="1" applyAlignment="1">
      <alignment vertical="top" wrapText="1"/>
    </xf>
    <xf numFmtId="0" fontId="68" fillId="4" borderId="20" xfId="0" applyFont="1" applyFill="1" applyBorder="1" applyAlignment="1">
      <alignment vertical="top" wrapText="1"/>
    </xf>
    <xf numFmtId="3" fontId="68" fillId="4" borderId="2" xfId="0" applyNumberFormat="1" applyFont="1" applyFill="1" applyBorder="1" applyAlignment="1">
      <alignment vertical="top" wrapText="1"/>
    </xf>
    <xf numFmtId="49" fontId="68" fillId="4" borderId="17" xfId="0" applyNumberFormat="1" applyFont="1" applyFill="1" applyBorder="1" applyAlignment="1">
      <alignment vertical="top" wrapText="1"/>
    </xf>
    <xf numFmtId="3" fontId="68" fillId="4" borderId="21" xfId="0" applyNumberFormat="1" applyFont="1" applyFill="1" applyBorder="1" applyAlignment="1">
      <alignment vertical="top" wrapText="1"/>
    </xf>
    <xf numFmtId="0" fontId="12" fillId="0" borderId="6" xfId="0" applyNumberFormat="1" applyFont="1" applyFill="1" applyBorder="1" applyAlignment="1" applyProtection="1">
      <alignment wrapText="1"/>
      <protection locked="0"/>
    </xf>
    <xf numFmtId="49" fontId="31" fillId="0" borderId="6" xfId="0" applyNumberFormat="1" applyFont="1" applyFill="1" applyBorder="1" applyAlignment="1">
      <alignment vertical="top" wrapText="1"/>
    </xf>
    <xf numFmtId="0" fontId="31" fillId="0" borderId="6" xfId="0" applyFont="1" applyFill="1" applyBorder="1" applyAlignment="1">
      <alignment vertical="top" wrapText="1"/>
    </xf>
    <xf numFmtId="3" fontId="31" fillId="0" borderId="110" xfId="0" applyNumberFormat="1" applyFont="1" applyFill="1" applyBorder="1" applyAlignment="1">
      <alignment vertical="top" wrapText="1"/>
    </xf>
    <xf numFmtId="3" fontId="31" fillId="0" borderId="111" xfId="0" applyNumberFormat="1" applyFont="1" applyFill="1" applyBorder="1" applyAlignment="1">
      <alignment vertical="top" wrapText="1"/>
    </xf>
    <xf numFmtId="49" fontId="10" fillId="0" borderId="6" xfId="0" applyNumberFormat="1" applyFont="1" applyFill="1" applyBorder="1" applyAlignment="1">
      <alignment vertical="top" wrapText="1"/>
    </xf>
    <xf numFmtId="3" fontId="10" fillId="0" borderId="6" xfId="0" applyNumberFormat="1" applyFont="1" applyFill="1" applyBorder="1" applyAlignment="1">
      <alignment vertical="top" wrapText="1"/>
    </xf>
    <xf numFmtId="3" fontId="10" fillId="0" borderId="96" xfId="0" applyNumberFormat="1" applyFont="1" applyFill="1" applyBorder="1" applyAlignment="1">
      <alignment vertical="top" wrapText="1"/>
    </xf>
    <xf numFmtId="0" fontId="21" fillId="0" borderId="0" xfId="0" applyFont="1" applyFill="1" applyAlignment="1">
      <alignment/>
    </xf>
    <xf numFmtId="3" fontId="12" fillId="0" borderId="9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72" xfId="0" applyNumberFormat="1" applyFont="1" applyFill="1" applyBorder="1" applyAlignment="1">
      <alignment horizontal="center" vertical="center"/>
    </xf>
    <xf numFmtId="0" fontId="0" fillId="0" borderId="6" xfId="0" applyNumberFormat="1" applyFont="1" applyFill="1" applyBorder="1" applyAlignment="1">
      <alignment horizontal="center" vertical="center"/>
    </xf>
    <xf numFmtId="3" fontId="0" fillId="0" borderId="6" xfId="0" applyNumberFormat="1" applyFont="1" applyFill="1" applyBorder="1" applyAlignment="1">
      <alignment/>
    </xf>
    <xf numFmtId="3" fontId="0" fillId="0" borderId="96" xfId="0" applyNumberFormat="1" applyFont="1" applyFill="1" applyBorder="1" applyAlignment="1">
      <alignment/>
    </xf>
    <xf numFmtId="0" fontId="0" fillId="0" borderId="97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/>
    </xf>
    <xf numFmtId="0" fontId="0" fillId="0" borderId="94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wrapText="1"/>
    </xf>
    <xf numFmtId="3" fontId="0" fillId="0" borderId="9" xfId="0" applyNumberFormat="1" applyFont="1" applyFill="1" applyBorder="1" applyAlignment="1">
      <alignment/>
    </xf>
    <xf numFmtId="3" fontId="0" fillId="0" borderId="92" xfId="0" applyNumberFormat="1" applyFont="1" applyFill="1" applyBorder="1" applyAlignment="1">
      <alignment/>
    </xf>
    <xf numFmtId="0" fontId="0" fillId="0" borderId="95" xfId="0" applyNumberFormat="1" applyFont="1" applyFill="1" applyBorder="1" applyAlignment="1">
      <alignment horizontal="center" vertical="center"/>
    </xf>
    <xf numFmtId="0" fontId="0" fillId="0" borderId="8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wrapText="1"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 vertical="center"/>
    </xf>
    <xf numFmtId="49" fontId="1" fillId="2" borderId="94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/>
    </xf>
    <xf numFmtId="0" fontId="1" fillId="2" borderId="9" xfId="0" applyNumberFormat="1" applyFont="1" applyFill="1" applyBorder="1" applyAlignment="1">
      <alignment horizontal="center" vertical="center"/>
    </xf>
    <xf numFmtId="0" fontId="1" fillId="2" borderId="9" xfId="0" applyNumberFormat="1" applyFont="1" applyFill="1" applyBorder="1" applyAlignment="1">
      <alignment wrapText="1"/>
    </xf>
    <xf numFmtId="0" fontId="31" fillId="2" borderId="0" xfId="0" applyFont="1" applyFill="1" applyAlignment="1">
      <alignment/>
    </xf>
    <xf numFmtId="49" fontId="12" fillId="2" borderId="95" xfId="0" applyNumberFormat="1" applyFont="1" applyFill="1" applyBorder="1" applyAlignment="1">
      <alignment horizontal="center" vertical="center"/>
    </xf>
    <xf numFmtId="49" fontId="12" fillId="2" borderId="8" xfId="0" applyNumberFormat="1" applyFont="1" applyFill="1" applyBorder="1" applyAlignment="1">
      <alignment horizontal="center" vertical="center"/>
    </xf>
    <xf numFmtId="3" fontId="0" fillId="2" borderId="0" xfId="0" applyNumberFormat="1" applyFont="1" applyFill="1" applyBorder="1" applyAlignment="1">
      <alignment/>
    </xf>
    <xf numFmtId="49" fontId="6" fillId="2" borderId="89" xfId="0" applyNumberFormat="1" applyFont="1" applyFill="1" applyBorder="1" applyAlignment="1">
      <alignment horizontal="center" vertical="center"/>
    </xf>
    <xf numFmtId="49" fontId="6" fillId="2" borderId="5" xfId="0" applyNumberFormat="1" applyFont="1" applyFill="1" applyBorder="1" applyAlignment="1">
      <alignment horizontal="center" vertical="center"/>
    </xf>
    <xf numFmtId="0" fontId="6" fillId="2" borderId="5" xfId="0" applyNumberFormat="1" applyFont="1" applyFill="1" applyBorder="1" applyAlignment="1">
      <alignment horizontal="center" vertical="center"/>
    </xf>
    <xf numFmtId="0" fontId="6" fillId="2" borderId="5" xfId="0" applyNumberFormat="1" applyFont="1" applyFill="1" applyBorder="1" applyAlignment="1">
      <alignment wrapText="1"/>
    </xf>
    <xf numFmtId="3" fontId="6" fillId="2" borderId="91" xfId="0" applyNumberFormat="1" applyFont="1" applyFill="1" applyBorder="1" applyAlignment="1">
      <alignment/>
    </xf>
    <xf numFmtId="0" fontId="12" fillId="2" borderId="95" xfId="0" applyNumberFormat="1" applyFont="1" applyFill="1" applyBorder="1" applyAlignment="1">
      <alignment horizontal="center" vertical="center"/>
    </xf>
    <xf numFmtId="0" fontId="12" fillId="2" borderId="72" xfId="0" applyNumberFormat="1" applyFont="1" applyFill="1" applyBorder="1" applyAlignment="1">
      <alignment horizontal="center" vertical="center"/>
    </xf>
    <xf numFmtId="49" fontId="5" fillId="2" borderId="73" xfId="0" applyNumberFormat="1" applyFont="1" applyFill="1" applyBorder="1" applyAlignment="1">
      <alignment horizontal="center" vertical="center"/>
    </xf>
    <xf numFmtId="49" fontId="0" fillId="2" borderId="73" xfId="0" applyNumberFormat="1" applyFont="1" applyFill="1" applyBorder="1" applyAlignment="1">
      <alignment horizontal="center" vertical="center"/>
    </xf>
    <xf numFmtId="0" fontId="0" fillId="2" borderId="74" xfId="0" applyNumberFormat="1" applyFont="1" applyFill="1" applyBorder="1" applyAlignment="1">
      <alignment wrapText="1"/>
    </xf>
    <xf numFmtId="3" fontId="0" fillId="2" borderId="75" xfId="0" applyNumberFormat="1" applyFont="1" applyFill="1" applyBorder="1" applyAlignment="1">
      <alignment horizontal="right" vertical="center"/>
    </xf>
    <xf numFmtId="172" fontId="0" fillId="2" borderId="73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0" fillId="2" borderId="73" xfId="0" applyFont="1" applyFill="1" applyBorder="1" applyAlignment="1">
      <alignment horizontal="center" vertical="center"/>
    </xf>
    <xf numFmtId="49" fontId="0" fillId="2" borderId="112" xfId="0" applyNumberFormat="1" applyFont="1" applyFill="1" applyBorder="1" applyAlignment="1">
      <alignment horizontal="center" vertical="center"/>
    </xf>
    <xf numFmtId="0" fontId="10" fillId="2" borderId="47" xfId="0" applyFont="1" applyFill="1" applyBorder="1" applyAlignment="1">
      <alignment vertical="top" wrapText="1"/>
    </xf>
    <xf numFmtId="172" fontId="0" fillId="2" borderId="73" xfId="0" applyNumberFormat="1" applyFill="1" applyBorder="1" applyAlignment="1">
      <alignment horizontal="center" vertical="center"/>
    </xf>
    <xf numFmtId="0" fontId="5" fillId="2" borderId="0" xfId="0" applyFont="1" applyFill="1" applyBorder="1" applyAlignment="1">
      <alignment/>
    </xf>
    <xf numFmtId="3" fontId="17" fillId="2" borderId="3" xfId="0" applyNumberFormat="1" applyFont="1" applyFill="1" applyBorder="1" applyAlignment="1">
      <alignment vertical="top" wrapText="1"/>
    </xf>
    <xf numFmtId="172" fontId="12" fillId="2" borderId="2" xfId="0" applyNumberFormat="1" applyFont="1" applyFill="1" applyBorder="1" applyAlignment="1">
      <alignment horizontal="right" vertical="top"/>
    </xf>
    <xf numFmtId="0" fontId="21" fillId="2" borderId="17" xfId="0" applyFont="1" applyFill="1" applyBorder="1" applyAlignment="1">
      <alignment vertical="top" wrapText="1"/>
    </xf>
    <xf numFmtId="0" fontId="6" fillId="2" borderId="89" xfId="0" applyNumberFormat="1" applyFont="1" applyFill="1" applyBorder="1" applyAlignment="1">
      <alignment horizontal="center" vertical="center"/>
    </xf>
    <xf numFmtId="0" fontId="1" fillId="2" borderId="94" xfId="0" applyNumberFormat="1" applyFont="1" applyFill="1" applyBorder="1" applyAlignment="1">
      <alignment horizontal="center" vertical="center"/>
    </xf>
    <xf numFmtId="0" fontId="1" fillId="2" borderId="72" xfId="0" applyNumberFormat="1" applyFont="1" applyFill="1" applyBorder="1" applyAlignment="1">
      <alignment horizontal="center" vertical="center"/>
    </xf>
    <xf numFmtId="0" fontId="1" fillId="2" borderId="6" xfId="0" applyNumberFormat="1" applyFont="1" applyFill="1" applyBorder="1" applyAlignment="1">
      <alignment horizontal="center" vertical="center"/>
    </xf>
    <xf numFmtId="0" fontId="1" fillId="2" borderId="6" xfId="0" applyNumberFormat="1" applyFont="1" applyFill="1" applyBorder="1" applyAlignment="1">
      <alignment wrapText="1"/>
    </xf>
    <xf numFmtId="3" fontId="1" fillId="2" borderId="96" xfId="0" applyNumberFormat="1" applyFont="1" applyFill="1" applyBorder="1" applyAlignment="1">
      <alignment/>
    </xf>
    <xf numFmtId="0" fontId="1" fillId="2" borderId="95" xfId="0" applyNumberFormat="1" applyFont="1" applyFill="1" applyBorder="1" applyAlignment="1">
      <alignment horizontal="center" vertical="center"/>
    </xf>
    <xf numFmtId="0" fontId="1" fillId="2" borderId="8" xfId="0" applyNumberFormat="1" applyFont="1" applyFill="1" applyBorder="1" applyAlignment="1">
      <alignment horizontal="center" vertical="center"/>
    </xf>
    <xf numFmtId="0" fontId="1" fillId="2" borderId="8" xfId="0" applyNumberFormat="1" applyFont="1" applyFill="1" applyBorder="1" applyAlignment="1">
      <alignment wrapText="1"/>
    </xf>
    <xf numFmtId="3" fontId="1" fillId="2" borderId="8" xfId="0" applyNumberFormat="1" applyFont="1" applyFill="1" applyBorder="1" applyAlignment="1">
      <alignment/>
    </xf>
    <xf numFmtId="3" fontId="1" fillId="2" borderId="93" xfId="0" applyNumberFormat="1" applyFont="1" applyFill="1" applyBorder="1" applyAlignment="1">
      <alignment/>
    </xf>
    <xf numFmtId="49" fontId="32" fillId="2" borderId="89" xfId="0" applyNumberFormat="1" applyFont="1" applyFill="1" applyBorder="1" applyAlignment="1">
      <alignment vertical="top" wrapText="1"/>
    </xf>
    <xf numFmtId="49" fontId="32" fillId="2" borderId="5" xfId="0" applyNumberFormat="1" applyFont="1" applyFill="1" applyBorder="1" applyAlignment="1">
      <alignment vertical="top" wrapText="1"/>
    </xf>
    <xf numFmtId="0" fontId="32" fillId="2" borderId="5" xfId="0" applyFont="1" applyFill="1" applyBorder="1" applyAlignment="1">
      <alignment vertical="top" wrapText="1"/>
    </xf>
    <xf numFmtId="3" fontId="32" fillId="2" borderId="5" xfId="0" applyNumberFormat="1" applyFont="1" applyFill="1" applyBorder="1" applyAlignment="1">
      <alignment vertical="top" wrapText="1"/>
    </xf>
    <xf numFmtId="3" fontId="32" fillId="2" borderId="91" xfId="0" applyNumberFormat="1" applyFont="1" applyFill="1" applyBorder="1" applyAlignment="1">
      <alignment vertical="top" wrapText="1"/>
    </xf>
    <xf numFmtId="3" fontId="21" fillId="0" borderId="20" xfId="0" applyNumberFormat="1" applyFont="1" applyFill="1" applyBorder="1" applyAlignment="1">
      <alignment vertical="top" wrapText="1"/>
    </xf>
    <xf numFmtId="3" fontId="21" fillId="0" borderId="21" xfId="0" applyNumberFormat="1" applyFont="1" applyFill="1" applyBorder="1" applyAlignment="1">
      <alignment vertical="top" wrapText="1"/>
    </xf>
    <xf numFmtId="3" fontId="17" fillId="0" borderId="2" xfId="0" applyNumberFormat="1" applyFont="1" applyFill="1" applyBorder="1" applyAlignment="1">
      <alignment vertical="top" wrapText="1"/>
    </xf>
    <xf numFmtId="3" fontId="17" fillId="0" borderId="21" xfId="0" applyNumberFormat="1" applyFont="1" applyFill="1" applyBorder="1" applyAlignment="1">
      <alignment vertical="top" wrapText="1"/>
    </xf>
    <xf numFmtId="3" fontId="10" fillId="0" borderId="3" xfId="0" applyNumberFormat="1" applyFont="1" applyFill="1" applyBorder="1" applyAlignment="1">
      <alignment vertical="top" wrapText="1"/>
    </xf>
    <xf numFmtId="0" fontId="0" fillId="7" borderId="4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0" fontId="0" fillId="7" borderId="4" xfId="0" applyFont="1" applyFill="1" applyBorder="1" applyAlignment="1">
      <alignment horizontal="center" vertical="center" wrapText="1"/>
    </xf>
    <xf numFmtId="3" fontId="0" fillId="7" borderId="4" xfId="0" applyNumberFormat="1" applyFont="1" applyFill="1" applyBorder="1" applyAlignment="1">
      <alignment vertical="center"/>
    </xf>
    <xf numFmtId="3" fontId="6" fillId="0" borderId="58" xfId="0" applyNumberFormat="1" applyFont="1" applyBorder="1" applyAlignment="1">
      <alignment vertical="center"/>
    </xf>
    <xf numFmtId="0" fontId="1" fillId="7" borderId="67" xfId="0" applyFont="1" applyFill="1" applyBorder="1" applyAlignment="1">
      <alignment vertical="center"/>
    </xf>
    <xf numFmtId="0" fontId="1" fillId="7" borderId="1" xfId="0" applyFont="1" applyFill="1" applyBorder="1" applyAlignment="1">
      <alignment vertical="center"/>
    </xf>
    <xf numFmtId="2" fontId="1" fillId="7" borderId="78" xfId="0" applyNumberFormat="1" applyFont="1" applyFill="1" applyBorder="1" applyAlignment="1">
      <alignment vertical="center" wrapText="1"/>
    </xf>
    <xf numFmtId="3" fontId="1" fillId="7" borderId="65" xfId="0" applyNumberFormat="1" applyFont="1" applyFill="1" applyBorder="1" applyAlignment="1">
      <alignment vertical="center"/>
    </xf>
    <xf numFmtId="0" fontId="1" fillId="7" borderId="78" xfId="0" applyFont="1" applyFill="1" applyBorder="1" applyAlignment="1">
      <alignment vertical="center" wrapText="1"/>
    </xf>
    <xf numFmtId="0" fontId="0" fillId="0" borderId="73" xfId="0" applyBorder="1" applyAlignment="1">
      <alignment vertical="center"/>
    </xf>
    <xf numFmtId="3" fontId="0" fillId="0" borderId="73" xfId="0" applyNumberFormat="1" applyBorder="1" applyAlignment="1">
      <alignment vertical="center"/>
    </xf>
    <xf numFmtId="3" fontId="0" fillId="0" borderId="73" xfId="0" applyNumberFormat="1" applyFill="1" applyBorder="1" applyAlignment="1">
      <alignment vertical="center"/>
    </xf>
    <xf numFmtId="0" fontId="5" fillId="0" borderId="78" xfId="0" applyFont="1" applyFill="1" applyBorder="1" applyAlignment="1" applyProtection="1">
      <alignment horizontal="center" vertical="center" wrapText="1"/>
      <protection locked="0"/>
    </xf>
    <xf numFmtId="0" fontId="27" fillId="0" borderId="13" xfId="0" applyFont="1" applyFill="1" applyBorder="1" applyAlignment="1">
      <alignment horizontal="center" vertical="center"/>
    </xf>
    <xf numFmtId="3" fontId="0" fillId="0" borderId="24" xfId="0" applyNumberFormat="1" applyFill="1" applyBorder="1" applyAlignment="1">
      <alignment vertical="center"/>
    </xf>
    <xf numFmtId="3" fontId="0" fillId="0" borderId="86" xfId="0" applyNumberFormat="1" applyFill="1" applyBorder="1" applyAlignment="1">
      <alignment vertical="center"/>
    </xf>
    <xf numFmtId="3" fontId="0" fillId="0" borderId="24" xfId="0" applyNumberFormat="1" applyFont="1" applyFill="1" applyBorder="1" applyAlignment="1">
      <alignment vertical="center"/>
    </xf>
    <xf numFmtId="3" fontId="0" fillId="0" borderId="86" xfId="0" applyNumberFormat="1" applyFont="1" applyFill="1" applyBorder="1" applyAlignment="1">
      <alignment vertical="center"/>
    </xf>
    <xf numFmtId="3" fontId="0" fillId="0" borderId="24" xfId="0" applyNumberFormat="1" applyFont="1" applyFill="1" applyBorder="1" applyAlignment="1">
      <alignment vertical="center"/>
    </xf>
    <xf numFmtId="3" fontId="0" fillId="0" borderId="86" xfId="0" applyNumberFormat="1" applyFont="1" applyFill="1" applyBorder="1" applyAlignment="1">
      <alignment vertical="center"/>
    </xf>
    <xf numFmtId="0" fontId="0" fillId="8" borderId="0" xfId="0" applyFill="1" applyAlignment="1">
      <alignment vertical="center"/>
    </xf>
    <xf numFmtId="0" fontId="5" fillId="8" borderId="113" xfId="0" applyFont="1" applyFill="1" applyBorder="1" applyAlignment="1" applyProtection="1">
      <alignment vertical="center" wrapText="1"/>
      <protection locked="0"/>
    </xf>
    <xf numFmtId="0" fontId="5" fillId="8" borderId="1" xfId="0" applyFont="1" applyFill="1" applyBorder="1" applyAlignment="1" applyProtection="1">
      <alignment horizontal="center" vertical="center" wrapText="1"/>
      <protection locked="0"/>
    </xf>
    <xf numFmtId="0" fontId="27" fillId="8" borderId="12" xfId="0" applyFont="1" applyFill="1" applyBorder="1" applyAlignment="1">
      <alignment horizontal="center" vertical="center"/>
    </xf>
    <xf numFmtId="3" fontId="5" fillId="8" borderId="20" xfId="0" applyNumberFormat="1" applyFont="1" applyFill="1" applyBorder="1" applyAlignment="1">
      <alignment vertical="center"/>
    </xf>
    <xf numFmtId="3" fontId="0" fillId="8" borderId="2" xfId="0" applyNumberFormat="1" applyFill="1" applyBorder="1" applyAlignment="1">
      <alignment vertical="center"/>
    </xf>
    <xf numFmtId="3" fontId="0" fillId="8" borderId="3" xfId="0" applyNumberFormat="1" applyFill="1" applyBorder="1" applyAlignment="1">
      <alignment vertical="center"/>
    </xf>
    <xf numFmtId="3" fontId="0" fillId="8" borderId="2" xfId="0" applyNumberFormat="1" applyFont="1" applyFill="1" applyBorder="1" applyAlignment="1">
      <alignment vertical="center"/>
    </xf>
    <xf numFmtId="3" fontId="0" fillId="8" borderId="3" xfId="0" applyNumberFormat="1" applyFont="1" applyFill="1" applyBorder="1" applyAlignment="1">
      <alignment vertical="center"/>
    </xf>
    <xf numFmtId="3" fontId="0" fillId="8" borderId="2" xfId="0" applyNumberFormat="1" applyFont="1" applyFill="1" applyBorder="1" applyAlignment="1">
      <alignment vertical="center"/>
    </xf>
    <xf numFmtId="3" fontId="0" fillId="8" borderId="3" xfId="0" applyNumberFormat="1" applyFont="1" applyFill="1" applyBorder="1" applyAlignment="1">
      <alignment vertical="center"/>
    </xf>
    <xf numFmtId="3" fontId="23" fillId="8" borderId="20" xfId="0" applyNumberFormat="1" applyFont="1" applyFill="1" applyBorder="1" applyAlignment="1">
      <alignment vertical="center"/>
    </xf>
    <xf numFmtId="3" fontId="12" fillId="8" borderId="2" xfId="0" applyNumberFormat="1" applyFont="1" applyFill="1" applyBorder="1" applyAlignment="1">
      <alignment vertical="center"/>
    </xf>
    <xf numFmtId="3" fontId="12" fillId="8" borderId="3" xfId="0" applyNumberFormat="1" applyFont="1" applyFill="1" applyBorder="1" applyAlignment="1">
      <alignment vertical="center"/>
    </xf>
    <xf numFmtId="3" fontId="5" fillId="8" borderId="4" xfId="0" applyNumberFormat="1" applyFont="1" applyFill="1" applyBorder="1" applyAlignment="1">
      <alignment vertical="center"/>
    </xf>
    <xf numFmtId="0" fontId="20" fillId="5" borderId="20" xfId="0" applyFont="1" applyFill="1" applyBorder="1" applyAlignment="1">
      <alignment/>
    </xf>
    <xf numFmtId="3" fontId="5" fillId="5" borderId="20" xfId="0" applyNumberFormat="1" applyFont="1" applyFill="1" applyBorder="1" applyAlignment="1">
      <alignment vertical="center"/>
    </xf>
    <xf numFmtId="0" fontId="0" fillId="5" borderId="0" xfId="0" applyFill="1" applyBorder="1" applyAlignment="1">
      <alignment vertical="center"/>
    </xf>
    <xf numFmtId="0" fontId="8" fillId="5" borderId="2" xfId="0" applyFont="1" applyFill="1" applyBorder="1" applyAlignment="1">
      <alignment/>
    </xf>
    <xf numFmtId="3" fontId="0" fillId="5" borderId="2" xfId="0" applyNumberFormat="1" applyFill="1" applyBorder="1" applyAlignment="1">
      <alignment vertical="center"/>
    </xf>
    <xf numFmtId="0" fontId="8" fillId="5" borderId="2" xfId="0" applyFont="1" applyFill="1" applyBorder="1" applyAlignment="1">
      <alignment wrapText="1"/>
    </xf>
    <xf numFmtId="0" fontId="8" fillId="5" borderId="21" xfId="0" applyFont="1" applyFill="1" applyBorder="1" applyAlignment="1">
      <alignment/>
    </xf>
    <xf numFmtId="3" fontId="0" fillId="5" borderId="3" xfId="0" applyNumberFormat="1" applyFill="1" applyBorder="1" applyAlignment="1">
      <alignment vertical="center"/>
    </xf>
    <xf numFmtId="0" fontId="20" fillId="5" borderId="4" xfId="0" applyFont="1" applyFill="1" applyBorder="1" applyAlignment="1">
      <alignment/>
    </xf>
    <xf numFmtId="0" fontId="8" fillId="5" borderId="3" xfId="0" applyFont="1" applyFill="1" applyBorder="1" applyAlignment="1">
      <alignment/>
    </xf>
    <xf numFmtId="3" fontId="5" fillId="0" borderId="4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8" fillId="5" borderId="22" xfId="0" applyFont="1" applyFill="1" applyBorder="1" applyAlignment="1">
      <alignment/>
    </xf>
    <xf numFmtId="3" fontId="0" fillId="5" borderId="22" xfId="0" applyNumberFormat="1" applyFill="1" applyBorder="1" applyAlignment="1">
      <alignment vertical="center"/>
    </xf>
    <xf numFmtId="0" fontId="0" fillId="0" borderId="4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2" xfId="0" applyFont="1" applyFill="1" applyBorder="1" applyAlignment="1">
      <alignment wrapText="1"/>
    </xf>
    <xf numFmtId="0" fontId="0" fillId="0" borderId="3" xfId="0" applyFont="1" applyFill="1" applyBorder="1" applyAlignment="1">
      <alignment/>
    </xf>
    <xf numFmtId="0" fontId="8" fillId="0" borderId="2" xfId="0" applyFont="1" applyFill="1" applyBorder="1" applyAlignment="1">
      <alignment/>
    </xf>
    <xf numFmtId="0" fontId="8" fillId="0" borderId="2" xfId="0" applyFont="1" applyFill="1" applyBorder="1" applyAlignment="1">
      <alignment wrapText="1"/>
    </xf>
    <xf numFmtId="0" fontId="8" fillId="0" borderId="3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3" fontId="5" fillId="8" borderId="114" xfId="0" applyNumberFormat="1" applyFont="1" applyFill="1" applyBorder="1" applyAlignment="1">
      <alignment vertical="center"/>
    </xf>
    <xf numFmtId="3" fontId="5" fillId="8" borderId="28" xfId="0" applyNumberFormat="1" applyFont="1" applyFill="1" applyBorder="1" applyAlignment="1">
      <alignment vertical="center"/>
    </xf>
    <xf numFmtId="3" fontId="5" fillId="0" borderId="28" xfId="0" applyNumberFormat="1" applyFont="1" applyFill="1" applyBorder="1" applyAlignment="1">
      <alignment vertical="center"/>
    </xf>
    <xf numFmtId="3" fontId="5" fillId="0" borderId="115" xfId="0" applyNumberFormat="1" applyFont="1" applyFill="1" applyBorder="1" applyAlignment="1">
      <alignment vertical="center"/>
    </xf>
    <xf numFmtId="0" fontId="5" fillId="0" borderId="114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2" xfId="0" applyFont="1" applyFill="1" applyBorder="1" applyAlignment="1">
      <alignment wrapText="1"/>
    </xf>
    <xf numFmtId="0" fontId="5" fillId="0" borderId="22" xfId="0" applyFont="1" applyFill="1" applyBorder="1" applyAlignment="1">
      <alignment/>
    </xf>
    <xf numFmtId="0" fontId="0" fillId="9" borderId="0" xfId="0" applyFill="1" applyAlignment="1">
      <alignment/>
    </xf>
    <xf numFmtId="3" fontId="70" fillId="0" borderId="0" xfId="18" applyNumberFormat="1" applyFont="1" applyBorder="1" applyAlignment="1">
      <alignment horizontal="center" vertical="center" wrapText="1"/>
      <protection/>
    </xf>
    <xf numFmtId="49" fontId="71" fillId="0" borderId="20" xfId="0" applyNumberFormat="1" applyFont="1" applyFill="1" applyBorder="1" applyAlignment="1">
      <alignment vertical="top" wrapText="1"/>
    </xf>
    <xf numFmtId="49" fontId="71" fillId="0" borderId="2" xfId="0" applyNumberFormat="1" applyFont="1" applyFill="1" applyBorder="1" applyAlignment="1">
      <alignment vertical="top" wrapText="1"/>
    </xf>
    <xf numFmtId="49" fontId="72" fillId="0" borderId="15" xfId="0" applyNumberFormat="1" applyFont="1" applyFill="1" applyBorder="1" applyAlignment="1">
      <alignment vertical="top" wrapText="1"/>
    </xf>
    <xf numFmtId="49" fontId="71" fillId="0" borderId="17" xfId="0" applyNumberFormat="1" applyFont="1" applyFill="1" applyBorder="1" applyAlignment="1">
      <alignment vertical="top" wrapText="1"/>
    </xf>
    <xf numFmtId="3" fontId="11" fillId="0" borderId="2" xfId="0" applyNumberFormat="1" applyFont="1" applyFill="1" applyBorder="1" applyAlignment="1">
      <alignment vertical="top" wrapText="1"/>
    </xf>
    <xf numFmtId="0" fontId="4" fillId="0" borderId="59" xfId="18" applyFont="1" applyBorder="1" applyAlignment="1">
      <alignment vertical="center"/>
      <protection/>
    </xf>
    <xf numFmtId="0" fontId="4" fillId="0" borderId="54" xfId="18" applyFont="1" applyBorder="1" applyAlignment="1">
      <alignment vertical="center"/>
      <protection/>
    </xf>
    <xf numFmtId="0" fontId="9" fillId="3" borderId="33" xfId="18" applyFont="1" applyFill="1" applyBorder="1" applyAlignment="1">
      <alignment vertical="center"/>
      <protection/>
    </xf>
    <xf numFmtId="0" fontId="7" fillId="0" borderId="109" xfId="18" applyFont="1" applyBorder="1" applyAlignment="1">
      <alignment vertical="center"/>
      <protection/>
    </xf>
    <xf numFmtId="0" fontId="7" fillId="0" borderId="116" xfId="18" applyFont="1" applyBorder="1" applyAlignment="1">
      <alignment vertical="center"/>
      <protection/>
    </xf>
    <xf numFmtId="0" fontId="9" fillId="0" borderId="33" xfId="18" applyFont="1" applyBorder="1" applyAlignment="1">
      <alignment vertical="center"/>
      <protection/>
    </xf>
    <xf numFmtId="0" fontId="9" fillId="3" borderId="33" xfId="18" applyFont="1" applyFill="1" applyBorder="1" applyAlignment="1">
      <alignment vertical="center" wrapText="1"/>
      <protection/>
    </xf>
    <xf numFmtId="0" fontId="6" fillId="0" borderId="68" xfId="18" applyFont="1" applyBorder="1" applyAlignment="1">
      <alignment vertical="center" wrapText="1"/>
      <protection/>
    </xf>
    <xf numFmtId="0" fontId="0" fillId="0" borderId="116" xfId="18" applyFont="1" applyBorder="1" applyAlignment="1">
      <alignment vertical="center" wrapText="1"/>
      <protection/>
    </xf>
    <xf numFmtId="0" fontId="6" fillId="0" borderId="116" xfId="18" applyFont="1" applyBorder="1" applyAlignment="1">
      <alignment vertical="center" wrapText="1"/>
      <protection/>
    </xf>
    <xf numFmtId="0" fontId="6" fillId="0" borderId="68" xfId="18" applyFont="1" applyBorder="1" applyAlignment="1">
      <alignment vertical="center" wrapText="1"/>
      <protection/>
    </xf>
    <xf numFmtId="0" fontId="6" fillId="0" borderId="116" xfId="18" applyFont="1" applyBorder="1" applyAlignment="1">
      <alignment vertical="center" wrapText="1"/>
      <protection/>
    </xf>
    <xf numFmtId="0" fontId="9" fillId="0" borderId="115" xfId="18" applyFont="1" applyBorder="1" applyAlignment="1">
      <alignment vertical="center"/>
      <protection/>
    </xf>
    <xf numFmtId="0" fontId="6" fillId="0" borderId="68" xfId="18" applyFont="1" applyBorder="1" applyAlignment="1">
      <alignment vertical="center"/>
      <protection/>
    </xf>
    <xf numFmtId="0" fontId="6" fillId="0" borderId="68" xfId="18" applyFont="1" applyFill="1" applyBorder="1" applyAlignment="1">
      <alignment vertical="center"/>
      <protection/>
    </xf>
    <xf numFmtId="0" fontId="6" fillId="0" borderId="68" xfId="18" applyFont="1" applyFill="1" applyBorder="1" applyAlignment="1">
      <alignment vertical="center" wrapText="1"/>
      <protection/>
    </xf>
    <xf numFmtId="0" fontId="0" fillId="0" borderId="116" xfId="18" applyFont="1" applyFill="1" applyBorder="1" applyAlignment="1">
      <alignment vertical="center" wrapText="1"/>
      <protection/>
    </xf>
    <xf numFmtId="0" fontId="6" fillId="0" borderId="116" xfId="18" applyFont="1" applyFill="1" applyBorder="1" applyAlignment="1">
      <alignment vertical="center" wrapText="1"/>
      <protection/>
    </xf>
    <xf numFmtId="0" fontId="0" fillId="0" borderId="116" xfId="18" applyFont="1" applyFill="1" applyBorder="1" applyAlignment="1">
      <alignment vertical="center"/>
      <protection/>
    </xf>
    <xf numFmtId="0" fontId="9" fillId="0" borderId="33" xfId="18" applyFont="1" applyFill="1" applyBorder="1" applyAlignment="1">
      <alignment vertical="center" wrapText="1"/>
      <protection/>
    </xf>
    <xf numFmtId="0" fontId="6" fillId="0" borderId="117" xfId="18" applyFont="1" applyFill="1" applyBorder="1" applyAlignment="1">
      <alignment vertical="center"/>
      <protection/>
    </xf>
    <xf numFmtId="0" fontId="6" fillId="0" borderId="117" xfId="18" applyFont="1" applyFill="1" applyBorder="1" applyAlignment="1">
      <alignment vertical="center" wrapText="1"/>
      <protection/>
    </xf>
    <xf numFmtId="0" fontId="6" fillId="0" borderId="118" xfId="18" applyFont="1" applyFill="1" applyBorder="1" applyAlignment="1">
      <alignment vertical="center" wrapText="1"/>
      <protection/>
    </xf>
    <xf numFmtId="0" fontId="0" fillId="0" borderId="117" xfId="18" applyFont="1" applyFill="1" applyBorder="1" applyAlignment="1">
      <alignment vertical="center" wrapText="1"/>
      <protection/>
    </xf>
    <xf numFmtId="0" fontId="0" fillId="0" borderId="118" xfId="18" applyFont="1" applyFill="1" applyBorder="1" applyAlignment="1">
      <alignment vertical="center" wrapText="1"/>
      <protection/>
    </xf>
    <xf numFmtId="0" fontId="1" fillId="9" borderId="90" xfId="0" applyNumberFormat="1" applyFont="1" applyFill="1" applyBorder="1" applyAlignment="1">
      <alignment horizontal="center" vertical="center"/>
    </xf>
    <xf numFmtId="0" fontId="1" fillId="9" borderId="110" xfId="0" applyNumberFormat="1" applyFont="1" applyFill="1" applyBorder="1" applyAlignment="1">
      <alignment horizontal="center" vertical="center"/>
    </xf>
    <xf numFmtId="0" fontId="31" fillId="9" borderId="47" xfId="0" applyFont="1" applyFill="1" applyBorder="1" applyAlignment="1">
      <alignment vertical="top" wrapText="1"/>
    </xf>
    <xf numFmtId="3" fontId="1" fillId="9" borderId="110" xfId="0" applyNumberFormat="1" applyFont="1" applyFill="1" applyBorder="1" applyAlignment="1">
      <alignment/>
    </xf>
    <xf numFmtId="3" fontId="1" fillId="9" borderId="111" xfId="0" applyNumberFormat="1" applyFont="1" applyFill="1" applyBorder="1" applyAlignment="1">
      <alignment/>
    </xf>
    <xf numFmtId="3" fontId="0" fillId="9" borderId="0" xfId="0" applyNumberFormat="1" applyFont="1" applyFill="1" applyBorder="1" applyAlignment="1">
      <alignment/>
    </xf>
    <xf numFmtId="0" fontId="1" fillId="9" borderId="0" xfId="0" applyFont="1" applyFill="1" applyAlignment="1">
      <alignment/>
    </xf>
    <xf numFmtId="0" fontId="3" fillId="9" borderId="72" xfId="0" applyNumberFormat="1" applyFont="1" applyFill="1" applyBorder="1" applyAlignment="1">
      <alignment horizontal="center" vertical="center"/>
    </xf>
    <xf numFmtId="0" fontId="23" fillId="9" borderId="6" xfId="0" applyNumberFormat="1" applyFont="1" applyFill="1" applyBorder="1" applyAlignment="1">
      <alignment horizontal="center" vertical="center"/>
    </xf>
    <xf numFmtId="0" fontId="12" fillId="9" borderId="6" xfId="0" applyNumberFormat="1" applyFont="1" applyFill="1" applyBorder="1" applyAlignment="1">
      <alignment horizontal="center" vertical="center"/>
    </xf>
    <xf numFmtId="0" fontId="12" fillId="9" borderId="6" xfId="0" applyNumberFormat="1" applyFont="1" applyFill="1" applyBorder="1" applyAlignment="1">
      <alignment wrapText="1"/>
    </xf>
    <xf numFmtId="3" fontId="12" fillId="9" borderId="6" xfId="0" applyNumberFormat="1" applyFont="1" applyFill="1" applyBorder="1" applyAlignment="1">
      <alignment/>
    </xf>
    <xf numFmtId="3" fontId="12" fillId="9" borderId="96" xfId="0" applyNumberFormat="1" applyFont="1" applyFill="1" applyBorder="1" applyAlignment="1">
      <alignment/>
    </xf>
    <xf numFmtId="0" fontId="0" fillId="9" borderId="41" xfId="0" applyFont="1" applyFill="1" applyBorder="1" applyAlignment="1">
      <alignment horizontal="center" vertical="center"/>
    </xf>
    <xf numFmtId="0" fontId="0" fillId="9" borderId="17" xfId="0" applyFont="1" applyFill="1" applyBorder="1" applyAlignment="1">
      <alignment horizontal="center" vertical="center"/>
    </xf>
    <xf numFmtId="0" fontId="33" fillId="9" borderId="18" xfId="0" applyFont="1" applyFill="1" applyBorder="1" applyAlignment="1">
      <alignment horizontal="left" vertical="center" wrapText="1"/>
    </xf>
    <xf numFmtId="3" fontId="33" fillId="9" borderId="46" xfId="0" applyNumberFormat="1" applyFont="1" applyFill="1" applyBorder="1" applyAlignment="1">
      <alignment horizontal="center" vertical="center"/>
    </xf>
    <xf numFmtId="3" fontId="0" fillId="9" borderId="42" xfId="0" applyNumberFormat="1" applyFont="1" applyFill="1" applyBorder="1" applyAlignment="1">
      <alignment horizontal="center" vertical="center"/>
    </xf>
    <xf numFmtId="0" fontId="7" fillId="9" borderId="0" xfId="0" applyFont="1" applyFill="1" applyAlignment="1">
      <alignment horizontal="center" vertical="center"/>
    </xf>
    <xf numFmtId="0" fontId="7" fillId="9" borderId="0" xfId="0" applyFont="1" applyFill="1" applyAlignment="1">
      <alignment vertical="center"/>
    </xf>
    <xf numFmtId="0" fontId="0" fillId="9" borderId="0" xfId="0" applyFill="1" applyAlignment="1">
      <alignment vertical="center"/>
    </xf>
    <xf numFmtId="3" fontId="0" fillId="0" borderId="21" xfId="0" applyNumberFormat="1" applyFill="1" applyBorder="1" applyAlignment="1">
      <alignment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3" fontId="19" fillId="0" borderId="0" xfId="0" applyNumberFormat="1" applyFont="1" applyFill="1" applyAlignment="1">
      <alignment horizontal="right"/>
    </xf>
    <xf numFmtId="3" fontId="5" fillId="0" borderId="30" xfId="0" applyNumberFormat="1" applyFont="1" applyFill="1" applyBorder="1" applyAlignment="1">
      <alignment vertical="center"/>
    </xf>
    <xf numFmtId="3" fontId="5" fillId="0" borderId="85" xfId="0" applyNumberFormat="1" applyFont="1" applyFill="1" applyBorder="1" applyAlignment="1">
      <alignment vertical="center"/>
    </xf>
    <xf numFmtId="3" fontId="5" fillId="0" borderId="104" xfId="0" applyNumberFormat="1" applyFont="1" applyFill="1" applyBorder="1" applyAlignment="1">
      <alignment vertical="center"/>
    </xf>
    <xf numFmtId="3" fontId="0" fillId="0" borderId="22" xfId="0" applyNumberFormat="1" applyFill="1" applyBorder="1" applyAlignment="1">
      <alignment vertical="center"/>
    </xf>
    <xf numFmtId="3" fontId="0" fillId="0" borderId="26" xfId="0" applyNumberFormat="1" applyFill="1" applyBorder="1" applyAlignment="1">
      <alignment vertical="center"/>
    </xf>
    <xf numFmtId="3" fontId="0" fillId="0" borderId="101" xfId="0" applyNumberFormat="1" applyFill="1" applyBorder="1" applyAlignment="1">
      <alignment vertical="center"/>
    </xf>
    <xf numFmtId="3" fontId="5" fillId="0" borderId="114" xfId="0" applyNumberFormat="1" applyFont="1" applyFill="1" applyBorder="1" applyAlignment="1">
      <alignment vertical="center"/>
    </xf>
    <xf numFmtId="3" fontId="5" fillId="0" borderId="100" xfId="0" applyNumberFormat="1" applyFont="1" applyFill="1" applyBorder="1" applyAlignment="1">
      <alignment vertical="center"/>
    </xf>
    <xf numFmtId="3" fontId="13" fillId="0" borderId="1" xfId="0" applyNumberFormat="1" applyFont="1" applyFill="1" applyBorder="1" applyAlignment="1">
      <alignment horizontal="center" vertical="center" wrapText="1"/>
    </xf>
    <xf numFmtId="0" fontId="13" fillId="0" borderId="119" xfId="0" applyFont="1" applyFill="1" applyBorder="1" applyAlignment="1">
      <alignment horizontal="center" vertical="center" wrapText="1"/>
    </xf>
    <xf numFmtId="0" fontId="13" fillId="0" borderId="120" xfId="0" applyFont="1" applyFill="1" applyBorder="1" applyAlignment="1">
      <alignment horizontal="center" vertical="center" wrapText="1"/>
    </xf>
    <xf numFmtId="175" fontId="4" fillId="0" borderId="54" xfId="0" applyNumberFormat="1" applyFont="1" applyFill="1" applyBorder="1" applyAlignment="1">
      <alignment horizontal="center" vertical="center"/>
    </xf>
    <xf numFmtId="0" fontId="3" fillId="0" borderId="105" xfId="0" applyFont="1" applyFill="1" applyBorder="1" applyAlignment="1">
      <alignment horizontal="center" vertical="center"/>
    </xf>
    <xf numFmtId="0" fontId="3" fillId="0" borderId="106" xfId="0" applyFont="1" applyFill="1" applyBorder="1" applyAlignment="1">
      <alignment horizontal="center" vertical="center"/>
    </xf>
    <xf numFmtId="0" fontId="3" fillId="0" borderId="107" xfId="0" applyFont="1" applyFill="1" applyBorder="1" applyAlignment="1">
      <alignment horizontal="center" vertical="center"/>
    </xf>
    <xf numFmtId="3" fontId="0" fillId="0" borderId="0" xfId="0" applyNumberFormat="1" applyFont="1" applyFill="1" applyAlignment="1">
      <alignment/>
    </xf>
    <xf numFmtId="3" fontId="29" fillId="0" borderId="0" xfId="0" applyNumberFormat="1" applyFont="1" applyFill="1" applyAlignment="1">
      <alignment horizontal="right"/>
    </xf>
    <xf numFmtId="3" fontId="5" fillId="0" borderId="20" xfId="0" applyNumberFormat="1" applyFont="1" applyFill="1" applyBorder="1" applyAlignment="1">
      <alignment/>
    </xf>
    <xf numFmtId="3" fontId="5" fillId="0" borderId="40" xfId="0" applyNumberFormat="1" applyFont="1" applyFill="1" applyBorder="1" applyAlignment="1">
      <alignment/>
    </xf>
    <xf numFmtId="3" fontId="5" fillId="0" borderId="4" xfId="0" applyNumberFormat="1" applyFont="1" applyFill="1" applyBorder="1" applyAlignment="1">
      <alignment/>
    </xf>
    <xf numFmtId="3" fontId="5" fillId="0" borderId="104" xfId="0" applyNumberFormat="1" applyFont="1" applyFill="1" applyBorder="1" applyAlignment="1">
      <alignment/>
    </xf>
    <xf numFmtId="0" fontId="20" fillId="0" borderId="114" xfId="0" applyFont="1" applyFill="1" applyBorder="1" applyAlignment="1">
      <alignment/>
    </xf>
    <xf numFmtId="3" fontId="5" fillId="0" borderId="114" xfId="0" applyNumberFormat="1" applyFont="1" applyFill="1" applyBorder="1" applyAlignment="1">
      <alignment/>
    </xf>
    <xf numFmtId="3" fontId="5" fillId="0" borderId="100" xfId="0" applyNumberFormat="1" applyFont="1" applyFill="1" applyBorder="1" applyAlignment="1">
      <alignment/>
    </xf>
    <xf numFmtId="172" fontId="6" fillId="0" borderId="121" xfId="0" applyNumberFormat="1" applyFont="1" applyFill="1" applyBorder="1" applyAlignment="1">
      <alignment horizontal="center" vertical="center" wrapText="1"/>
    </xf>
    <xf numFmtId="3" fontId="13" fillId="0" borderId="51" xfId="0" applyNumberFormat="1" applyFont="1" applyFill="1" applyBorder="1" applyAlignment="1">
      <alignment horizontal="center" vertical="center" wrapText="1"/>
    </xf>
    <xf numFmtId="3" fontId="13" fillId="0" borderId="122" xfId="0" applyNumberFormat="1" applyFont="1" applyFill="1" applyBorder="1" applyAlignment="1">
      <alignment horizontal="center" vertical="center" wrapText="1"/>
    </xf>
    <xf numFmtId="3" fontId="13" fillId="0" borderId="18" xfId="0" applyNumberFormat="1" applyFont="1" applyFill="1" applyBorder="1" applyAlignment="1">
      <alignment horizontal="center" vertical="center" wrapText="1"/>
    </xf>
    <xf numFmtId="3" fontId="13" fillId="0" borderId="106" xfId="0" applyNumberFormat="1" applyFont="1" applyFill="1" applyBorder="1" applyAlignment="1">
      <alignment horizontal="center" vertical="center" wrapText="1"/>
    </xf>
    <xf numFmtId="3" fontId="13" fillId="0" borderId="1" xfId="0" applyNumberFormat="1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/>
    </xf>
    <xf numFmtId="49" fontId="5" fillId="0" borderId="121" xfId="0" applyNumberFormat="1" applyFont="1" applyFill="1" applyBorder="1" applyAlignment="1">
      <alignment horizontal="left" vertical="center"/>
    </xf>
    <xf numFmtId="49" fontId="5" fillId="0" borderId="50" xfId="0" applyNumberFormat="1" applyFont="1" applyFill="1" applyBorder="1" applyAlignment="1">
      <alignment horizontal="left" vertical="center"/>
    </xf>
    <xf numFmtId="0" fontId="5" fillId="0" borderId="123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121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49" fontId="5" fillId="0" borderId="121" xfId="0" applyNumberFormat="1" applyFont="1" applyFill="1" applyBorder="1" applyAlignment="1">
      <alignment horizontal="center" vertical="center" wrapText="1"/>
    </xf>
    <xf numFmtId="49" fontId="5" fillId="0" borderId="50" xfId="0" applyNumberFormat="1" applyFont="1" applyFill="1" applyBorder="1" applyAlignment="1">
      <alignment horizontal="center" vertical="center" wrapText="1"/>
    </xf>
    <xf numFmtId="0" fontId="5" fillId="0" borderId="124" xfId="0" applyFont="1" applyFill="1" applyBorder="1" applyAlignment="1">
      <alignment horizontal="center" vertical="center" wrapText="1"/>
    </xf>
    <xf numFmtId="0" fontId="5" fillId="0" borderId="109" xfId="0" applyFont="1" applyFill="1" applyBorder="1" applyAlignment="1">
      <alignment horizontal="center" vertical="center" wrapText="1"/>
    </xf>
    <xf numFmtId="172" fontId="5" fillId="0" borderId="124" xfId="0" applyNumberFormat="1" applyFont="1" applyFill="1" applyBorder="1" applyAlignment="1">
      <alignment horizontal="center" vertical="center" wrapText="1"/>
    </xf>
    <xf numFmtId="172" fontId="5" fillId="0" borderId="109" xfId="0" applyNumberFormat="1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/>
    </xf>
    <xf numFmtId="172" fontId="6" fillId="0" borderId="17" xfId="0" applyNumberFormat="1" applyFont="1" applyFill="1" applyBorder="1" applyAlignment="1">
      <alignment horizontal="center" vertical="center" wrapText="1"/>
    </xf>
    <xf numFmtId="172" fontId="6" fillId="0" borderId="50" xfId="0" applyNumberFormat="1" applyFont="1" applyFill="1" applyBorder="1" applyAlignment="1">
      <alignment horizontal="center" vertical="center" wrapText="1"/>
    </xf>
    <xf numFmtId="0" fontId="13" fillId="0" borderId="59" xfId="0" applyFont="1" applyFill="1" applyBorder="1" applyAlignment="1">
      <alignment horizontal="center" vertical="center" wrapText="1"/>
    </xf>
    <xf numFmtId="0" fontId="13" fillId="0" borderId="125" xfId="0" applyFont="1" applyFill="1" applyBorder="1" applyAlignment="1">
      <alignment horizontal="center" vertical="center" wrapText="1"/>
    </xf>
    <xf numFmtId="0" fontId="13" fillId="0" borderId="55" xfId="0" applyFont="1" applyFill="1" applyBorder="1" applyAlignment="1">
      <alignment horizontal="center" vertical="center" wrapText="1"/>
    </xf>
    <xf numFmtId="0" fontId="13" fillId="0" borderId="105" xfId="0" applyFont="1" applyFill="1" applyBorder="1" applyAlignment="1">
      <alignment horizontal="center" vertical="center" wrapText="1"/>
    </xf>
    <xf numFmtId="0" fontId="13" fillId="0" borderId="67" xfId="0" applyFont="1" applyFill="1" applyBorder="1" applyAlignment="1">
      <alignment horizontal="center" vertical="center" wrapText="1"/>
    </xf>
    <xf numFmtId="0" fontId="13" fillId="0" borderId="106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51" fillId="0" borderId="54" xfId="0" applyFont="1" applyBorder="1" applyAlignment="1">
      <alignment horizontal="center"/>
    </xf>
    <xf numFmtId="0" fontId="51" fillId="0" borderId="59" xfId="0" applyFont="1" applyBorder="1" applyAlignment="1">
      <alignment horizontal="center"/>
    </xf>
    <xf numFmtId="0" fontId="8" fillId="0" borderId="0" xfId="0" applyFont="1" applyAlignment="1">
      <alignment horizontal="left" vertical="top" wrapText="1"/>
    </xf>
    <xf numFmtId="0" fontId="4" fillId="0" borderId="59" xfId="0" applyFont="1" applyFill="1" applyBorder="1" applyAlignment="1">
      <alignment horizontal="center" vertical="center"/>
    </xf>
    <xf numFmtId="0" fontId="4" fillId="0" borderId="125" xfId="0" applyFont="1" applyFill="1" applyBorder="1" applyAlignment="1">
      <alignment horizontal="center" vertical="center"/>
    </xf>
    <xf numFmtId="0" fontId="57" fillId="0" borderId="0" xfId="0" applyFont="1" applyAlignment="1">
      <alignment horizontal="center"/>
    </xf>
    <xf numFmtId="0" fontId="58" fillId="0" borderId="0" xfId="0" applyFont="1" applyAlignment="1">
      <alignment/>
    </xf>
    <xf numFmtId="0" fontId="22" fillId="0" borderId="0" xfId="0" applyFont="1" applyAlignment="1">
      <alignment horizontal="center"/>
    </xf>
    <xf numFmtId="0" fontId="45" fillId="0" borderId="0" xfId="0" applyFont="1" applyAlignment="1">
      <alignment/>
    </xf>
    <xf numFmtId="0" fontId="25" fillId="0" borderId="0" xfId="0" applyFont="1" applyAlignment="1">
      <alignment horizontal="center"/>
    </xf>
    <xf numFmtId="0" fontId="6" fillId="0" borderId="126" xfId="0" applyNumberFormat="1" applyFont="1" applyFill="1" applyBorder="1" applyAlignment="1">
      <alignment horizontal="right"/>
    </xf>
    <xf numFmtId="0" fontId="6" fillId="0" borderId="127" xfId="0" applyNumberFormat="1" applyFont="1" applyFill="1" applyBorder="1" applyAlignment="1">
      <alignment horizontal="right"/>
    </xf>
    <xf numFmtId="0" fontId="6" fillId="0" borderId="128" xfId="0" applyNumberFormat="1" applyFont="1" applyFill="1" applyBorder="1" applyAlignment="1">
      <alignment horizontal="right"/>
    </xf>
    <xf numFmtId="0" fontId="13" fillId="0" borderId="129" xfId="0" applyFont="1" applyFill="1" applyBorder="1" applyAlignment="1">
      <alignment horizontal="center" vertical="center" wrapText="1"/>
    </xf>
    <xf numFmtId="0" fontId="13" fillId="0" borderId="119" xfId="0" applyFont="1" applyFill="1" applyBorder="1" applyAlignment="1">
      <alignment horizontal="center" vertical="center" wrapText="1"/>
    </xf>
    <xf numFmtId="0" fontId="13" fillId="0" borderId="130" xfId="0" applyFont="1" applyFill="1" applyBorder="1" applyAlignment="1">
      <alignment horizontal="center" vertical="center" wrapText="1"/>
    </xf>
    <xf numFmtId="0" fontId="13" fillId="0" borderId="131" xfId="0" applyFont="1" applyFill="1" applyBorder="1" applyAlignment="1">
      <alignment horizontal="center" vertical="center" wrapText="1"/>
    </xf>
    <xf numFmtId="3" fontId="8" fillId="0" borderId="0" xfId="0" applyNumberFormat="1" applyFont="1" applyAlignment="1">
      <alignment vertical="top" wrapText="1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top" wrapText="1"/>
    </xf>
    <xf numFmtId="0" fontId="13" fillId="0" borderId="132" xfId="0" applyFont="1" applyFill="1" applyBorder="1" applyAlignment="1">
      <alignment horizontal="center" vertical="center" wrapText="1"/>
    </xf>
    <xf numFmtId="3" fontId="13" fillId="0" borderId="88" xfId="0" applyNumberFormat="1" applyFont="1" applyFill="1" applyBorder="1" applyAlignment="1">
      <alignment horizontal="center" vertical="center" wrapText="1"/>
    </xf>
    <xf numFmtId="3" fontId="13" fillId="0" borderId="17" xfId="0" applyNumberFormat="1" applyFont="1" applyFill="1" applyBorder="1" applyAlignment="1">
      <alignment horizontal="center" vertical="center" wrapText="1"/>
    </xf>
    <xf numFmtId="3" fontId="13" fillId="0" borderId="50" xfId="0" applyNumberFormat="1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right" vertical="center"/>
    </xf>
    <xf numFmtId="0" fontId="13" fillId="0" borderId="88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50" xfId="0" applyFont="1" applyFill="1" applyBorder="1" applyAlignment="1">
      <alignment horizontal="center" vertical="center" wrapText="1"/>
    </xf>
    <xf numFmtId="49" fontId="21" fillId="5" borderId="24" xfId="0" applyNumberFormat="1" applyFont="1" applyFill="1" applyBorder="1" applyAlignment="1">
      <alignment horizontal="center" vertical="top" wrapText="1"/>
    </xf>
    <xf numFmtId="49" fontId="21" fillId="5" borderId="48" xfId="0" applyNumberFormat="1" applyFont="1" applyFill="1" applyBorder="1" applyAlignment="1">
      <alignment horizontal="center" vertical="top" wrapText="1"/>
    </xf>
    <xf numFmtId="49" fontId="21" fillId="2" borderId="24" xfId="0" applyNumberFormat="1" applyFont="1" applyFill="1" applyBorder="1" applyAlignment="1">
      <alignment horizontal="center" vertical="top" wrapText="1"/>
    </xf>
    <xf numFmtId="49" fontId="21" fillId="2" borderId="48" xfId="0" applyNumberFormat="1" applyFont="1" applyFill="1" applyBorder="1" applyAlignment="1">
      <alignment horizontal="center" vertical="top" wrapText="1"/>
    </xf>
    <xf numFmtId="0" fontId="21" fillId="4" borderId="24" xfId="0" applyFont="1" applyFill="1" applyBorder="1" applyAlignment="1">
      <alignment horizontal="center" vertical="top" wrapText="1"/>
    </xf>
    <xf numFmtId="0" fontId="21" fillId="4" borderId="48" xfId="0" applyFont="1" applyFill="1" applyBorder="1" applyAlignment="1">
      <alignment horizontal="center" vertical="top" wrapText="1"/>
    </xf>
    <xf numFmtId="0" fontId="21" fillId="10" borderId="24" xfId="0" applyFont="1" applyFill="1" applyBorder="1" applyAlignment="1">
      <alignment horizontal="center" vertical="top" wrapText="1"/>
    </xf>
    <xf numFmtId="0" fontId="21" fillId="10" borderId="48" xfId="0" applyFont="1" applyFill="1" applyBorder="1" applyAlignment="1">
      <alignment horizontal="center" vertical="top" wrapText="1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5" borderId="88" xfId="0" applyFill="1" applyBorder="1" applyAlignment="1">
      <alignment horizontal="center" vertical="center" wrapText="1"/>
    </xf>
    <xf numFmtId="0" fontId="0" fillId="5" borderId="17" xfId="0" applyFill="1" applyBorder="1" applyAlignment="1">
      <alignment horizontal="center" vertical="center" wrapText="1"/>
    </xf>
    <xf numFmtId="0" fontId="0" fillId="5" borderId="50" xfId="0" applyFill="1" applyBorder="1" applyAlignment="1">
      <alignment horizontal="center" vertical="center" wrapText="1"/>
    </xf>
    <xf numFmtId="0" fontId="0" fillId="5" borderId="17" xfId="0" applyFill="1" applyBorder="1" applyAlignment="1">
      <alignment horizontal="center" vertical="center"/>
    </xf>
    <xf numFmtId="0" fontId="0" fillId="5" borderId="50" xfId="0" applyFill="1" applyBorder="1" applyAlignment="1">
      <alignment horizontal="center" vertical="center"/>
    </xf>
    <xf numFmtId="0" fontId="0" fillId="5" borderId="88" xfId="0" applyFill="1" applyBorder="1" applyAlignment="1">
      <alignment horizontal="center" vertical="center"/>
    </xf>
    <xf numFmtId="0" fontId="0" fillId="5" borderId="17" xfId="0" applyFill="1" applyBorder="1" applyAlignment="1">
      <alignment horizontal="center"/>
    </xf>
    <xf numFmtId="0" fontId="0" fillId="5" borderId="50" xfId="0" applyFill="1" applyBorder="1" applyAlignment="1">
      <alignment horizontal="center"/>
    </xf>
    <xf numFmtId="3" fontId="0" fillId="5" borderId="88" xfId="0" applyNumberFormat="1" applyFill="1" applyBorder="1" applyAlignment="1">
      <alignment vertical="center"/>
    </xf>
    <xf numFmtId="3" fontId="0" fillId="5" borderId="17" xfId="0" applyNumberFormat="1" applyFill="1" applyBorder="1" applyAlignment="1">
      <alignment vertical="center"/>
    </xf>
    <xf numFmtId="3" fontId="0" fillId="5" borderId="50" xfId="0" applyNumberFormat="1" applyFill="1" applyBorder="1" applyAlignment="1">
      <alignment vertical="center"/>
    </xf>
    <xf numFmtId="0" fontId="0" fillId="5" borderId="28" xfId="0" applyFill="1" applyBorder="1" applyAlignment="1">
      <alignment horizontal="center" vertical="center" wrapText="1"/>
    </xf>
    <xf numFmtId="0" fontId="0" fillId="5" borderId="28" xfId="0" applyFill="1" applyBorder="1" applyAlignment="1">
      <alignment horizontal="center" vertical="center"/>
    </xf>
    <xf numFmtId="0" fontId="0" fillId="5" borderId="28" xfId="0" applyFill="1" applyBorder="1" applyAlignment="1">
      <alignment horizontal="center"/>
    </xf>
    <xf numFmtId="3" fontId="0" fillId="5" borderId="28" xfId="0" applyNumberFormat="1" applyFill="1" applyBorder="1" applyAlignment="1">
      <alignment vertical="center"/>
    </xf>
    <xf numFmtId="0" fontId="0" fillId="5" borderId="71" xfId="0" applyFill="1" applyBorder="1" applyAlignment="1">
      <alignment horizontal="center" vertical="top"/>
    </xf>
    <xf numFmtId="0" fontId="0" fillId="5" borderId="41" xfId="0" applyFill="1" applyBorder="1" applyAlignment="1">
      <alignment horizontal="center" vertical="top"/>
    </xf>
    <xf numFmtId="0" fontId="0" fillId="5" borderId="27" xfId="0" applyFill="1" applyBorder="1" applyAlignment="1">
      <alignment horizontal="center" vertical="top"/>
    </xf>
    <xf numFmtId="0" fontId="0" fillId="5" borderId="88" xfId="0" applyFill="1" applyBorder="1" applyAlignment="1">
      <alignment vertical="center"/>
    </xf>
    <xf numFmtId="0" fontId="0" fillId="5" borderId="17" xfId="0" applyFill="1" applyBorder="1" applyAlignment="1">
      <alignment vertical="center"/>
    </xf>
    <xf numFmtId="0" fontId="0" fillId="5" borderId="28" xfId="0" applyFill="1" applyBorder="1" applyAlignment="1">
      <alignment vertical="center"/>
    </xf>
    <xf numFmtId="0" fontId="0" fillId="5" borderId="49" xfId="0" applyFill="1" applyBorder="1" applyAlignment="1">
      <alignment horizontal="center" vertical="top"/>
    </xf>
    <xf numFmtId="0" fontId="0" fillId="5" borderId="50" xfId="0" applyFill="1" applyBorder="1" applyAlignment="1">
      <alignment vertical="center"/>
    </xf>
    <xf numFmtId="0" fontId="0" fillId="0" borderId="88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88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/>
    </xf>
    <xf numFmtId="0" fontId="0" fillId="0" borderId="50" xfId="0" applyFill="1" applyBorder="1" applyAlignment="1">
      <alignment horizontal="center"/>
    </xf>
    <xf numFmtId="3" fontId="0" fillId="0" borderId="88" xfId="0" applyNumberFormat="1" applyFill="1" applyBorder="1" applyAlignment="1">
      <alignment vertical="center"/>
    </xf>
    <xf numFmtId="3" fontId="0" fillId="0" borderId="17" xfId="0" applyNumberFormat="1" applyFill="1" applyBorder="1" applyAlignment="1">
      <alignment vertical="center"/>
    </xf>
    <xf numFmtId="3" fontId="0" fillId="0" borderId="50" xfId="0" applyNumberFormat="1" applyFill="1" applyBorder="1" applyAlignment="1">
      <alignment vertical="center"/>
    </xf>
    <xf numFmtId="0" fontId="0" fillId="0" borderId="71" xfId="0" applyFill="1" applyBorder="1" applyAlignment="1">
      <alignment horizontal="center" vertical="top"/>
    </xf>
    <xf numFmtId="0" fontId="0" fillId="0" borderId="41" xfId="0" applyFill="1" applyBorder="1" applyAlignment="1">
      <alignment horizontal="center" vertical="top"/>
    </xf>
    <xf numFmtId="0" fontId="0" fillId="0" borderId="49" xfId="0" applyFill="1" applyBorder="1" applyAlignment="1">
      <alignment horizontal="center" vertical="top"/>
    </xf>
    <xf numFmtId="0" fontId="0" fillId="0" borderId="88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50" xfId="0" applyFill="1" applyBorder="1" applyAlignment="1">
      <alignment vertical="center"/>
    </xf>
    <xf numFmtId="0" fontId="0" fillId="0" borderId="17" xfId="0" applyFill="1" applyBorder="1" applyAlignment="1">
      <alignment horizontal="center" vertical="center" wrapText="1"/>
    </xf>
    <xf numFmtId="0" fontId="0" fillId="0" borderId="50" xfId="0" applyFill="1" applyBorder="1" applyAlignment="1">
      <alignment horizontal="center" vertical="center" wrapText="1"/>
    </xf>
    <xf numFmtId="0" fontId="0" fillId="0" borderId="88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50" xfId="0" applyFont="1" applyFill="1" applyBorder="1" applyAlignment="1">
      <alignment horizontal="center" vertical="center" wrapText="1"/>
    </xf>
    <xf numFmtId="0" fontId="0" fillId="0" borderId="88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/>
    </xf>
    <xf numFmtId="0" fontId="0" fillId="0" borderId="50" xfId="0" applyFont="1" applyFill="1" applyBorder="1" applyAlignment="1">
      <alignment horizontal="center"/>
    </xf>
    <xf numFmtId="3" fontId="0" fillId="0" borderId="88" xfId="0" applyNumberFormat="1" applyFont="1" applyFill="1" applyBorder="1" applyAlignment="1">
      <alignment vertical="center"/>
    </xf>
    <xf numFmtId="3" fontId="0" fillId="0" borderId="17" xfId="0" applyNumberFormat="1" applyFont="1" applyFill="1" applyBorder="1" applyAlignment="1">
      <alignment vertical="center"/>
    </xf>
    <xf numFmtId="3" fontId="0" fillId="0" borderId="50" xfId="0" applyNumberFormat="1" applyFont="1" applyFill="1" applyBorder="1" applyAlignment="1">
      <alignment vertical="center"/>
    </xf>
    <xf numFmtId="0" fontId="0" fillId="0" borderId="71" xfId="0" applyFont="1" applyFill="1" applyBorder="1" applyAlignment="1">
      <alignment horizontal="center" vertical="top"/>
    </xf>
    <xf numFmtId="0" fontId="0" fillId="0" borderId="41" xfId="0" applyFont="1" applyFill="1" applyBorder="1" applyAlignment="1">
      <alignment horizontal="center" vertical="top"/>
    </xf>
    <xf numFmtId="0" fontId="0" fillId="0" borderId="49" xfId="0" applyFont="1" applyFill="1" applyBorder="1" applyAlignment="1">
      <alignment horizontal="center" vertical="top"/>
    </xf>
    <xf numFmtId="0" fontId="0" fillId="0" borderId="88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50" xfId="0" applyFont="1" applyFill="1" applyBorder="1" applyAlignment="1">
      <alignment vertical="center"/>
    </xf>
    <xf numFmtId="0" fontId="0" fillId="5" borderId="17" xfId="0" applyFont="1" applyFill="1" applyBorder="1" applyAlignment="1">
      <alignment horizontal="center" vertical="center" wrapText="1"/>
    </xf>
    <xf numFmtId="0" fontId="0" fillId="5" borderId="50" xfId="0" applyFont="1" applyFill="1" applyBorder="1" applyAlignment="1">
      <alignment horizontal="center" vertical="center" wrapText="1"/>
    </xf>
    <xf numFmtId="0" fontId="0" fillId="5" borderId="17" xfId="0" applyFont="1" applyFill="1" applyBorder="1" applyAlignment="1">
      <alignment horizontal="center" vertical="center"/>
    </xf>
    <xf numFmtId="0" fontId="0" fillId="5" borderId="50" xfId="0" applyFont="1" applyFill="1" applyBorder="1" applyAlignment="1">
      <alignment horizontal="center" vertical="center"/>
    </xf>
    <xf numFmtId="0" fontId="0" fillId="5" borderId="17" xfId="0" applyFont="1" applyFill="1" applyBorder="1" applyAlignment="1">
      <alignment horizontal="center"/>
    </xf>
    <xf numFmtId="0" fontId="0" fillId="5" borderId="50" xfId="0" applyFont="1" applyFill="1" applyBorder="1" applyAlignment="1">
      <alignment horizontal="center"/>
    </xf>
    <xf numFmtId="3" fontId="0" fillId="5" borderId="17" xfId="0" applyNumberFormat="1" applyFont="1" applyFill="1" applyBorder="1" applyAlignment="1">
      <alignment vertical="center"/>
    </xf>
    <xf numFmtId="3" fontId="0" fillId="5" borderId="50" xfId="0" applyNumberFormat="1" applyFont="1" applyFill="1" applyBorder="1" applyAlignment="1">
      <alignment vertical="center"/>
    </xf>
    <xf numFmtId="0" fontId="0" fillId="0" borderId="41" xfId="0" applyFont="1" applyFill="1" applyBorder="1" applyAlignment="1">
      <alignment horizontal="center" vertical="top"/>
    </xf>
    <xf numFmtId="0" fontId="0" fillId="0" borderId="49" xfId="0" applyFont="1" applyFill="1" applyBorder="1" applyAlignment="1">
      <alignment horizontal="center" vertical="top"/>
    </xf>
    <xf numFmtId="0" fontId="0" fillId="0" borderId="17" xfId="0" applyFont="1" applyFill="1" applyBorder="1" applyAlignment="1">
      <alignment vertical="center"/>
    </xf>
    <xf numFmtId="0" fontId="0" fillId="0" borderId="50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50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/>
    </xf>
    <xf numFmtId="0" fontId="0" fillId="0" borderId="50" xfId="0" applyFont="1" applyFill="1" applyBorder="1" applyAlignment="1">
      <alignment horizontal="center"/>
    </xf>
    <xf numFmtId="3" fontId="0" fillId="0" borderId="17" xfId="0" applyNumberFormat="1" applyFont="1" applyFill="1" applyBorder="1" applyAlignment="1">
      <alignment vertical="center"/>
    </xf>
    <xf numFmtId="3" fontId="0" fillId="0" borderId="50" xfId="0" applyNumberFormat="1" applyFont="1" applyFill="1" applyBorder="1" applyAlignment="1">
      <alignment vertical="center"/>
    </xf>
    <xf numFmtId="49" fontId="0" fillId="0" borderId="88" xfId="0" applyNumberFormat="1" applyFont="1" applyFill="1" applyBorder="1" applyAlignment="1">
      <alignment horizontal="right" vertical="center"/>
    </xf>
    <xf numFmtId="49" fontId="0" fillId="0" borderId="17" xfId="0" applyNumberFormat="1" applyFont="1" applyFill="1" applyBorder="1" applyAlignment="1">
      <alignment horizontal="right" vertical="center"/>
    </xf>
    <xf numFmtId="49" fontId="0" fillId="0" borderId="50" xfId="0" applyNumberFormat="1" applyFont="1" applyFill="1" applyBorder="1" applyAlignment="1">
      <alignment horizontal="right" vertical="center"/>
    </xf>
    <xf numFmtId="0" fontId="0" fillId="5" borderId="88" xfId="0" applyFont="1" applyFill="1" applyBorder="1" applyAlignment="1">
      <alignment horizontal="center" vertical="center"/>
    </xf>
    <xf numFmtId="0" fontId="0" fillId="5" borderId="88" xfId="0" applyFont="1" applyFill="1" applyBorder="1" applyAlignment="1">
      <alignment horizontal="center" vertical="center" wrapText="1"/>
    </xf>
    <xf numFmtId="3" fontId="0" fillId="5" borderId="88" xfId="0" applyNumberFormat="1" applyFont="1" applyFill="1" applyBorder="1" applyAlignment="1">
      <alignment vertical="center"/>
    </xf>
    <xf numFmtId="49" fontId="0" fillId="0" borderId="17" xfId="0" applyNumberFormat="1" applyFill="1" applyBorder="1" applyAlignment="1">
      <alignment horizontal="right" vertical="center"/>
    </xf>
    <xf numFmtId="49" fontId="0" fillId="0" borderId="50" xfId="0" applyNumberFormat="1" applyFill="1" applyBorder="1" applyAlignment="1">
      <alignment horizontal="right" vertical="center"/>
    </xf>
    <xf numFmtId="3" fontId="6" fillId="0" borderId="121" xfId="0" applyNumberFormat="1" applyFont="1" applyFill="1" applyBorder="1" applyAlignment="1">
      <alignment vertical="center"/>
    </xf>
    <xf numFmtId="3" fontId="6" fillId="0" borderId="17" xfId="0" applyNumberFormat="1" applyFont="1" applyFill="1" applyBorder="1" applyAlignment="1">
      <alignment vertical="center"/>
    </xf>
    <xf numFmtId="3" fontId="6" fillId="0" borderId="28" xfId="0" applyNumberFormat="1" applyFont="1" applyFill="1" applyBorder="1" applyAlignment="1">
      <alignment vertical="center"/>
    </xf>
    <xf numFmtId="0" fontId="25" fillId="0" borderId="133" xfId="0" applyFont="1" applyFill="1" applyBorder="1" applyAlignment="1">
      <alignment horizontal="center" vertical="center"/>
    </xf>
    <xf numFmtId="0" fontId="25" fillId="0" borderId="134" xfId="0" applyFont="1" applyFill="1" applyBorder="1" applyAlignment="1">
      <alignment horizontal="center" vertical="center"/>
    </xf>
    <xf numFmtId="0" fontId="25" fillId="0" borderId="135" xfId="0" applyFont="1" applyFill="1" applyBorder="1" applyAlignment="1">
      <alignment horizontal="center" vertical="center"/>
    </xf>
    <xf numFmtId="0" fontId="25" fillId="0" borderId="103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46" xfId="0" applyFont="1" applyFill="1" applyBorder="1" applyAlignment="1">
      <alignment horizontal="center" vertical="center"/>
    </xf>
    <xf numFmtId="0" fontId="25" fillId="0" borderId="69" xfId="0" applyFont="1" applyFill="1" applyBorder="1" applyAlignment="1">
      <alignment horizontal="center" vertical="center"/>
    </xf>
    <xf numFmtId="0" fontId="25" fillId="0" borderId="56" xfId="0" applyFont="1" applyFill="1" applyBorder="1" applyAlignment="1">
      <alignment horizontal="center" vertical="center"/>
    </xf>
    <xf numFmtId="0" fontId="25" fillId="0" borderId="136" xfId="0" applyFont="1" applyFill="1" applyBorder="1" applyAlignment="1">
      <alignment horizontal="center" vertical="center"/>
    </xf>
    <xf numFmtId="0" fontId="5" fillId="0" borderId="121" xfId="0" applyFont="1" applyFill="1" applyBorder="1" applyAlignment="1" applyProtection="1">
      <alignment horizontal="center" vertical="center" wrapText="1"/>
      <protection locked="0"/>
    </xf>
    <xf numFmtId="0" fontId="0" fillId="0" borderId="50" xfId="0" applyFill="1" applyBorder="1" applyAlignment="1" applyProtection="1">
      <alignment horizontal="center"/>
      <protection locked="0"/>
    </xf>
    <xf numFmtId="0" fontId="5" fillId="0" borderId="121" xfId="0" applyFont="1" applyFill="1" applyBorder="1" applyAlignment="1" applyProtection="1">
      <alignment horizontal="center" vertical="center"/>
      <protection locked="0"/>
    </xf>
    <xf numFmtId="0" fontId="5" fillId="0" borderId="50" xfId="0" applyFont="1" applyFill="1" applyBorder="1" applyAlignment="1" applyProtection="1">
      <alignment horizontal="center" vertical="center"/>
      <protection locked="0"/>
    </xf>
    <xf numFmtId="0" fontId="5" fillId="0" borderId="50" xfId="0" applyFont="1" applyFill="1" applyBorder="1" applyAlignment="1" applyProtection="1">
      <alignment horizontal="center" vertical="center" wrapText="1"/>
      <protection locked="0"/>
    </xf>
    <xf numFmtId="0" fontId="20" fillId="0" borderId="121" xfId="0" applyFont="1" applyFill="1" applyBorder="1" applyAlignment="1" applyProtection="1">
      <alignment horizontal="center" vertical="center" wrapText="1"/>
      <protection locked="0"/>
    </xf>
    <xf numFmtId="0" fontId="20" fillId="0" borderId="50" xfId="0" applyFont="1" applyFill="1" applyBorder="1" applyAlignment="1" applyProtection="1">
      <alignment horizontal="center" vertical="center" wrapText="1"/>
      <protection locked="0"/>
    </xf>
    <xf numFmtId="0" fontId="5" fillId="0" borderId="123" xfId="0" applyFont="1" applyFill="1" applyBorder="1" applyAlignment="1" applyProtection="1">
      <alignment horizontal="center" vertical="center"/>
      <protection locked="0"/>
    </xf>
    <xf numFmtId="0" fontId="5" fillId="0" borderId="49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>
      <alignment horizontal="left" vertical="top" wrapText="1"/>
    </xf>
    <xf numFmtId="0" fontId="2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137" xfId="0" applyFont="1" applyFill="1" applyBorder="1" applyAlignment="1" applyProtection="1">
      <alignment horizontal="center" vertical="center" wrapText="1"/>
      <protection locked="0"/>
    </xf>
    <xf numFmtId="0" fontId="5" fillId="0" borderId="138" xfId="0" applyFont="1" applyFill="1" applyBorder="1" applyAlignment="1" applyProtection="1">
      <alignment horizontal="center" vertical="center" wrapText="1"/>
      <protection locked="0"/>
    </xf>
    <xf numFmtId="0" fontId="8" fillId="0" borderId="88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50" xfId="0" applyFont="1" applyFill="1" applyBorder="1" applyAlignment="1">
      <alignment horizontal="center"/>
    </xf>
    <xf numFmtId="3" fontId="1" fillId="9" borderId="4" xfId="0" applyNumberFormat="1" applyFont="1" applyFill="1" applyBorder="1" applyAlignment="1">
      <alignment horizontal="right" vertical="center"/>
    </xf>
    <xf numFmtId="3" fontId="1" fillId="9" borderId="2" xfId="0" applyNumberFormat="1" applyFont="1" applyFill="1" applyBorder="1" applyAlignment="1">
      <alignment horizontal="right" vertical="center"/>
    </xf>
    <xf numFmtId="3" fontId="1" fillId="9" borderId="3" xfId="0" applyNumberFormat="1" applyFont="1" applyFill="1" applyBorder="1" applyAlignment="1">
      <alignment horizontal="right" vertical="center"/>
    </xf>
    <xf numFmtId="0" fontId="8" fillId="0" borderId="139" xfId="0" applyFont="1" applyFill="1" applyBorder="1" applyAlignment="1">
      <alignment horizontal="center"/>
    </xf>
    <xf numFmtId="0" fontId="8" fillId="0" borderId="35" xfId="0" applyFont="1" applyFill="1" applyBorder="1" applyAlignment="1">
      <alignment horizontal="center"/>
    </xf>
    <xf numFmtId="0" fontId="8" fillId="0" borderId="140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 wrapText="1"/>
    </xf>
    <xf numFmtId="0" fontId="28" fillId="0" borderId="4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3" fontId="1" fillId="0" borderId="4" xfId="0" applyNumberFormat="1" applyFont="1" applyFill="1" applyBorder="1" applyAlignment="1">
      <alignment horizontal="right" vertical="center"/>
    </xf>
    <xf numFmtId="3" fontId="1" fillId="0" borderId="2" xfId="0" applyNumberFormat="1" applyFont="1" applyFill="1" applyBorder="1" applyAlignment="1">
      <alignment horizontal="right" vertical="center"/>
    </xf>
    <xf numFmtId="3" fontId="1" fillId="0" borderId="3" xfId="0" applyNumberFormat="1" applyFont="1" applyFill="1" applyBorder="1" applyAlignment="1">
      <alignment horizontal="right" vertical="center"/>
    </xf>
    <xf numFmtId="0" fontId="28" fillId="0" borderId="4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 wrapText="1"/>
    </xf>
    <xf numFmtId="0" fontId="0" fillId="0" borderId="88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50" xfId="0" applyFont="1" applyFill="1" applyBorder="1" applyAlignment="1">
      <alignment horizontal="center" vertical="center" wrapText="1"/>
    </xf>
    <xf numFmtId="0" fontId="8" fillId="9" borderId="139" xfId="0" applyFont="1" applyFill="1" applyBorder="1" applyAlignment="1">
      <alignment horizontal="center"/>
    </xf>
    <xf numFmtId="0" fontId="8" fillId="9" borderId="35" xfId="0" applyFont="1" applyFill="1" applyBorder="1" applyAlignment="1">
      <alignment horizontal="center"/>
    </xf>
    <xf numFmtId="0" fontId="8" fillId="9" borderId="140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43" xfId="0" applyFont="1" applyFill="1" applyBorder="1" applyAlignment="1">
      <alignment horizontal="center"/>
    </xf>
    <xf numFmtId="0" fontId="8" fillId="9" borderId="139" xfId="0" applyFont="1" applyFill="1" applyBorder="1" applyAlignment="1">
      <alignment horizontal="center"/>
    </xf>
    <xf numFmtId="0" fontId="8" fillId="9" borderId="35" xfId="0" applyFont="1" applyFill="1" applyBorder="1" applyAlignment="1">
      <alignment horizontal="center"/>
    </xf>
    <xf numFmtId="0" fontId="8" fillId="9" borderId="140" xfId="0" applyFont="1" applyFill="1" applyBorder="1" applyAlignment="1">
      <alignment horizontal="center"/>
    </xf>
    <xf numFmtId="0" fontId="8" fillId="0" borderId="88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50" xfId="0" applyFont="1" applyFill="1" applyBorder="1" applyAlignment="1">
      <alignment horizontal="center" vertical="center" wrapText="1"/>
    </xf>
    <xf numFmtId="0" fontId="1" fillId="0" borderId="88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horizontal="center" vertical="center"/>
    </xf>
    <xf numFmtId="3" fontId="1" fillId="0" borderId="88" xfId="0" applyNumberFormat="1" applyFont="1" applyFill="1" applyBorder="1" applyAlignment="1">
      <alignment horizontal="right" vertical="center"/>
    </xf>
    <xf numFmtId="3" fontId="1" fillId="0" borderId="17" xfId="0" applyNumberFormat="1" applyFont="1" applyFill="1" applyBorder="1" applyAlignment="1">
      <alignment horizontal="right" vertical="center"/>
    </xf>
    <xf numFmtId="3" fontId="1" fillId="0" borderId="50" xfId="0" applyNumberFormat="1" applyFont="1" applyFill="1" applyBorder="1" applyAlignment="1">
      <alignment horizontal="right" vertical="center"/>
    </xf>
    <xf numFmtId="0" fontId="8" fillId="0" borderId="21" xfId="0" applyFont="1" applyFill="1" applyBorder="1" applyAlignment="1">
      <alignment horizontal="center"/>
    </xf>
    <xf numFmtId="3" fontId="1" fillId="9" borderId="20" xfId="0" applyNumberFormat="1" applyFont="1" applyFill="1" applyBorder="1" applyAlignment="1">
      <alignment horizontal="right" vertical="center"/>
    </xf>
    <xf numFmtId="3" fontId="1" fillId="9" borderId="21" xfId="0" applyNumberFormat="1" applyFont="1" applyFill="1" applyBorder="1" applyAlignment="1">
      <alignment horizontal="right" vertical="center"/>
    </xf>
    <xf numFmtId="0" fontId="28" fillId="0" borderId="21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/>
    </xf>
    <xf numFmtId="3" fontId="1" fillId="0" borderId="21" xfId="0" applyNumberFormat="1" applyFont="1" applyFill="1" applyBorder="1" applyAlignment="1">
      <alignment horizontal="right" vertical="center"/>
    </xf>
    <xf numFmtId="0" fontId="1" fillId="0" borderId="20" xfId="0" applyFont="1" applyFill="1" applyBorder="1" applyAlignment="1">
      <alignment horizontal="center" vertical="center"/>
    </xf>
    <xf numFmtId="3" fontId="1" fillId="0" borderId="20" xfId="0" applyNumberFormat="1" applyFont="1" applyFill="1" applyBorder="1" applyAlignment="1">
      <alignment horizontal="right" vertical="center"/>
    </xf>
    <xf numFmtId="0" fontId="8" fillId="0" borderId="20" xfId="0" applyFont="1" applyFill="1" applyBorder="1" applyAlignment="1">
      <alignment horizontal="center"/>
    </xf>
    <xf numFmtId="0" fontId="8" fillId="9" borderId="43" xfId="0" applyFont="1" applyFill="1" applyBorder="1" applyAlignment="1">
      <alignment horizontal="center"/>
    </xf>
    <xf numFmtId="3" fontId="1" fillId="9" borderId="88" xfId="0" applyNumberFormat="1" applyFont="1" applyFill="1" applyBorder="1" applyAlignment="1">
      <alignment horizontal="right" vertical="center"/>
    </xf>
    <xf numFmtId="3" fontId="1" fillId="9" borderId="17" xfId="0" applyNumberFormat="1" applyFont="1" applyFill="1" applyBorder="1" applyAlignment="1">
      <alignment horizontal="right" vertical="center"/>
    </xf>
    <xf numFmtId="3" fontId="1" fillId="9" borderId="50" xfId="0" applyNumberFormat="1" applyFont="1" applyFill="1" applyBorder="1" applyAlignment="1">
      <alignment horizontal="right" vertical="center"/>
    </xf>
    <xf numFmtId="0" fontId="8" fillId="0" borderId="139" xfId="0" applyFont="1" applyFill="1" applyBorder="1" applyAlignment="1">
      <alignment horizontal="center"/>
    </xf>
    <xf numFmtId="0" fontId="8" fillId="0" borderId="35" xfId="0" applyFont="1" applyFill="1" applyBorder="1" applyAlignment="1">
      <alignment horizontal="center"/>
    </xf>
    <xf numFmtId="0" fontId="8" fillId="0" borderId="43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 wrapText="1"/>
    </xf>
    <xf numFmtId="0" fontId="8" fillId="0" borderId="88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50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/>
    </xf>
    <xf numFmtId="49" fontId="8" fillId="0" borderId="20" xfId="0" applyNumberFormat="1" applyFont="1" applyFill="1" applyBorder="1" applyAlignment="1">
      <alignment horizontal="center"/>
    </xf>
    <xf numFmtId="49" fontId="8" fillId="0" borderId="2" xfId="0" applyNumberFormat="1" applyFont="1" applyFill="1" applyBorder="1" applyAlignment="1">
      <alignment horizontal="center"/>
    </xf>
    <xf numFmtId="49" fontId="8" fillId="0" borderId="3" xfId="0" applyNumberFormat="1" applyFont="1" applyFill="1" applyBorder="1" applyAlignment="1">
      <alignment horizontal="center"/>
    </xf>
    <xf numFmtId="3" fontId="1" fillId="0" borderId="88" xfId="0" applyNumberFormat="1" applyFont="1" applyFill="1" applyBorder="1" applyAlignment="1">
      <alignment horizontal="center" vertical="center"/>
    </xf>
    <xf numFmtId="3" fontId="1" fillId="0" borderId="17" xfId="0" applyNumberFormat="1" applyFont="1" applyFill="1" applyBorder="1" applyAlignment="1">
      <alignment horizontal="center" vertical="center"/>
    </xf>
    <xf numFmtId="3" fontId="1" fillId="0" borderId="28" xfId="0" applyNumberFormat="1" applyFont="1" applyFill="1" applyBorder="1" applyAlignment="1">
      <alignment horizontal="center" vertical="center"/>
    </xf>
    <xf numFmtId="0" fontId="1" fillId="0" borderId="141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/>
    </xf>
    <xf numFmtId="0" fontId="1" fillId="0" borderId="136" xfId="0" applyFont="1" applyFill="1" applyBorder="1" applyAlignment="1">
      <alignment horizontal="center" vertical="center"/>
    </xf>
    <xf numFmtId="0" fontId="0" fillId="0" borderId="63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56" xfId="0" applyFill="1" applyBorder="1" applyAlignment="1">
      <alignment horizontal="center" vertical="center" wrapText="1"/>
    </xf>
    <xf numFmtId="3" fontId="0" fillId="0" borderId="0" xfId="0" applyNumberFormat="1" applyFont="1" applyFill="1" applyAlignment="1">
      <alignment horizontal="left" vertical="top" wrapText="1"/>
    </xf>
    <xf numFmtId="3" fontId="5" fillId="0" borderId="121" xfId="0" applyNumberFormat="1" applyFont="1" applyFill="1" applyBorder="1" applyAlignment="1">
      <alignment horizontal="center" vertical="center" wrapText="1"/>
    </xf>
    <xf numFmtId="3" fontId="5" fillId="0" borderId="28" xfId="0" applyNumberFormat="1" applyFont="1" applyFill="1" applyBorder="1" applyAlignment="1">
      <alignment horizontal="center" vertical="center" wrapText="1"/>
    </xf>
    <xf numFmtId="0" fontId="5" fillId="0" borderId="121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3" fontId="5" fillId="0" borderId="113" xfId="0" applyNumberFormat="1" applyFont="1" applyFill="1" applyBorder="1" applyAlignment="1">
      <alignment horizontal="center" vertical="center" wrapText="1"/>
    </xf>
    <xf numFmtId="3" fontId="5" fillId="0" borderId="137" xfId="0" applyNumberFormat="1" applyFont="1" applyFill="1" applyBorder="1" applyAlignment="1">
      <alignment horizontal="center" vertical="center" wrapText="1"/>
    </xf>
    <xf numFmtId="3" fontId="5" fillId="0" borderId="138" xfId="0" applyNumberFormat="1" applyFont="1" applyFill="1" applyBorder="1" applyAlignment="1">
      <alignment horizontal="center" vertical="center" wrapText="1"/>
    </xf>
    <xf numFmtId="0" fontId="28" fillId="0" borderId="20" xfId="0" applyFont="1" applyFill="1" applyBorder="1" applyAlignment="1">
      <alignment horizontal="center" vertical="center" wrapText="1"/>
    </xf>
    <xf numFmtId="3" fontId="6" fillId="0" borderId="114" xfId="0" applyNumberFormat="1" applyFont="1" applyFill="1" applyBorder="1" applyAlignment="1">
      <alignment horizontal="right" vertical="center"/>
    </xf>
    <xf numFmtId="3" fontId="6" fillId="0" borderId="2" xfId="0" applyNumberFormat="1" applyFont="1" applyFill="1" applyBorder="1" applyAlignment="1">
      <alignment horizontal="right" vertical="center"/>
    </xf>
    <xf numFmtId="3" fontId="6" fillId="0" borderId="22" xfId="0" applyNumberFormat="1" applyFont="1" applyFill="1" applyBorder="1" applyAlignment="1">
      <alignment horizontal="right" vertical="center"/>
    </xf>
    <xf numFmtId="0" fontId="5" fillId="0" borderId="10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05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06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5" fillId="0" borderId="10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top"/>
    </xf>
    <xf numFmtId="0" fontId="9" fillId="0" borderId="0" xfId="0" applyFont="1" applyAlignment="1">
      <alignment horizontal="center" vertical="center"/>
    </xf>
    <xf numFmtId="0" fontId="5" fillId="0" borderId="105" xfId="0" applyFont="1" applyFill="1" applyBorder="1" applyAlignment="1">
      <alignment horizontal="center" vertical="center"/>
    </xf>
    <xf numFmtId="0" fontId="5" fillId="0" borderId="67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06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13" xfId="0" applyFont="1" applyFill="1" applyBorder="1" applyAlignment="1">
      <alignment horizontal="center" vertical="center" wrapText="1"/>
    </xf>
    <xf numFmtId="0" fontId="5" fillId="0" borderId="137" xfId="0" applyFont="1" applyFill="1" applyBorder="1" applyAlignment="1">
      <alignment horizontal="center" vertical="center" wrapText="1"/>
    </xf>
    <xf numFmtId="0" fontId="5" fillId="0" borderId="142" xfId="0" applyFont="1" applyFill="1" applyBorder="1" applyAlignment="1">
      <alignment horizontal="center" vertical="center" wrapText="1"/>
    </xf>
    <xf numFmtId="0" fontId="5" fillId="0" borderId="88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78" xfId="0" applyFont="1" applyFill="1" applyBorder="1" applyAlignment="1">
      <alignment horizontal="center" vertical="center"/>
    </xf>
    <xf numFmtId="0" fontId="5" fillId="0" borderId="66" xfId="0" applyFont="1" applyFill="1" applyBorder="1" applyAlignment="1">
      <alignment horizontal="center" vertical="center"/>
    </xf>
    <xf numFmtId="0" fontId="5" fillId="0" borderId="76" xfId="0" applyFont="1" applyFill="1" applyBorder="1" applyAlignment="1">
      <alignment horizontal="center" vertical="center"/>
    </xf>
    <xf numFmtId="0" fontId="5" fillId="0" borderId="107" xfId="0" applyFont="1" applyFill="1" applyBorder="1" applyAlignment="1">
      <alignment horizontal="center" vertical="center" wrapText="1"/>
    </xf>
    <xf numFmtId="0" fontId="5" fillId="0" borderId="6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3" fillId="0" borderId="106" xfId="0" applyFont="1" applyFill="1" applyBorder="1" applyAlignment="1">
      <alignment horizontal="center" vertical="center"/>
    </xf>
    <xf numFmtId="0" fontId="5" fillId="0" borderId="107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3" xfId="0" applyFont="1" applyFill="1" applyBorder="1" applyAlignment="1">
      <alignment horizontal="center" vertical="center"/>
    </xf>
    <xf numFmtId="0" fontId="5" fillId="0" borderId="113" xfId="0" applyFont="1" applyFill="1" applyBorder="1" applyAlignment="1">
      <alignment horizontal="left" vertical="center"/>
    </xf>
    <xf numFmtId="0" fontId="5" fillId="0" borderId="142" xfId="0" applyFont="1" applyFill="1" applyBorder="1" applyAlignment="1">
      <alignment horizontal="left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horizontal="center" vertical="center"/>
    </xf>
    <xf numFmtId="0" fontId="6" fillId="0" borderId="32" xfId="0" applyFont="1" applyBorder="1" applyAlignment="1">
      <alignment horizontal="left" vertical="center"/>
    </xf>
    <xf numFmtId="0" fontId="6" fillId="0" borderId="55" xfId="0" applyFont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/>
    </xf>
    <xf numFmtId="0" fontId="1" fillId="0" borderId="46" xfId="0" applyFont="1" applyFill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47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0" fillId="0" borderId="48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46" xfId="0" applyFont="1" applyBorder="1" applyAlignment="1">
      <alignment horizontal="left" vertical="center"/>
    </xf>
    <xf numFmtId="0" fontId="6" fillId="0" borderId="59" xfId="0" applyFont="1" applyBorder="1" applyAlignment="1">
      <alignment horizontal="center" vertical="center"/>
    </xf>
    <xf numFmtId="0" fontId="6" fillId="0" borderId="125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125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0" xfId="0" applyFont="1" applyAlignment="1">
      <alignment horizontal="center" vertical="top" wrapText="1"/>
    </xf>
    <xf numFmtId="3" fontId="5" fillId="0" borderId="88" xfId="0" applyNumberFormat="1" applyFont="1" applyFill="1" applyBorder="1" applyAlignment="1">
      <alignment horizontal="center" vertical="center" wrapText="1"/>
    </xf>
    <xf numFmtId="3" fontId="5" fillId="0" borderId="17" xfId="0" applyNumberFormat="1" applyFont="1" applyFill="1" applyBorder="1" applyAlignment="1">
      <alignment horizontal="center" vertical="center" wrapText="1"/>
    </xf>
    <xf numFmtId="3" fontId="5" fillId="0" borderId="50" xfId="0" applyNumberFormat="1" applyFont="1" applyFill="1" applyBorder="1" applyAlignment="1">
      <alignment horizontal="center" vertical="center" wrapText="1"/>
    </xf>
    <xf numFmtId="0" fontId="5" fillId="0" borderId="88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56" fillId="0" borderId="0" xfId="18" applyFont="1" applyBorder="1" applyAlignment="1">
      <alignment horizontal="center" vertical="center" wrapText="1"/>
      <protection/>
    </xf>
    <xf numFmtId="0" fontId="7" fillId="0" borderId="71" xfId="18" applyFont="1" applyBorder="1" applyAlignment="1">
      <alignment horizontal="center" vertical="center"/>
      <protection/>
    </xf>
    <xf numFmtId="0" fontId="7" fillId="0" borderId="41" xfId="18" applyFont="1" applyBorder="1" applyAlignment="1">
      <alignment horizontal="center" vertical="center"/>
      <protection/>
    </xf>
    <xf numFmtId="0" fontId="38" fillId="0" borderId="71" xfId="18" applyFont="1" applyBorder="1" applyAlignment="1">
      <alignment horizontal="center" vertical="center"/>
      <protection/>
    </xf>
    <xf numFmtId="0" fontId="38" fillId="0" borderId="41" xfId="18" applyFont="1" applyBorder="1" applyAlignment="1">
      <alignment horizontal="center" vertical="center"/>
      <protection/>
    </xf>
    <xf numFmtId="0" fontId="38" fillId="0" borderId="27" xfId="18" applyFont="1" applyBorder="1" applyAlignment="1">
      <alignment horizontal="center" vertical="center"/>
      <protection/>
    </xf>
    <xf numFmtId="3" fontId="7" fillId="0" borderId="57" xfId="18" applyNumberFormat="1" applyFont="1" applyBorder="1" applyAlignment="1">
      <alignment horizontal="right" vertical="center"/>
      <protection/>
    </xf>
    <xf numFmtId="3" fontId="7" fillId="0" borderId="58" xfId="18" applyNumberFormat="1" applyFont="1" applyBorder="1" applyAlignment="1">
      <alignment horizontal="right" vertical="center"/>
      <protection/>
    </xf>
    <xf numFmtId="0" fontId="4" fillId="0" borderId="125" xfId="18" applyFont="1" applyBorder="1" applyAlignment="1">
      <alignment horizontal="center" vertical="center"/>
      <protection/>
    </xf>
    <xf numFmtId="0" fontId="4" fillId="0" borderId="144" xfId="18" applyFont="1" applyBorder="1" applyAlignment="1">
      <alignment horizontal="center" vertical="center"/>
      <protection/>
    </xf>
  </cellXfs>
  <cellStyles count="9">
    <cellStyle name="Normal" xfId="0"/>
    <cellStyle name="Comma" xfId="15"/>
    <cellStyle name="Comma [0]" xfId="16"/>
    <cellStyle name="Hyperlink" xfId="17"/>
    <cellStyle name="Normalny_Prognoza i kredyty-tabele 2003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al_gmina_MORYN_2007_UCHWALON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PWD"/>
      <sheetName val="PWW"/>
    </sheetNames>
    <sheetDataSet>
      <sheetData sheetId="0">
        <row r="15">
          <cell r="D15" t="str">
            <v>Środki na dofinansowanie własnych inwestycji gmin (związków gmin), powiatów (związków powiatów), samorządów województw, pozyskane z innych źródeł </v>
          </cell>
        </row>
        <row r="77">
          <cell r="D77" t="str">
            <v>Dotacje otrzymane z funduszy celowych na finansowanie lub dofinansowanie kosztów realizacji inwestycji i zakupów inwestycyjnych jednostek sektora finansów publicznych</v>
          </cell>
        </row>
      </sheetData>
      <sheetData sheetId="1">
        <row r="120">
          <cell r="E120">
            <v>4189466</v>
          </cell>
        </row>
      </sheetData>
      <sheetData sheetId="14">
        <row r="121">
          <cell r="D121" t="str">
            <v>Wybory do rad gmin, rad powiatów i sejmików województw, wybory wójtów, burmistrzów i prezydentów miast oraz referenda gminne, powiatowe i wojewódzkie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H143"/>
  <sheetViews>
    <sheetView tabSelected="1" zoomScale="130" zoomScaleNormal="130" workbookViewId="0" topLeftCell="A1">
      <selection activeCell="D150" sqref="D150"/>
    </sheetView>
  </sheetViews>
  <sheetFormatPr defaultColWidth="9.00390625" defaultRowHeight="12.75"/>
  <cols>
    <col min="1" max="1" width="6.875" style="0" customWidth="1"/>
    <col min="2" max="2" width="8.875" style="0" bestFit="1" customWidth="1"/>
    <col min="3" max="3" width="6.00390625" style="0" hidden="1" customWidth="1"/>
    <col min="4" max="4" width="40.375" style="70" customWidth="1"/>
    <col min="5" max="5" width="16.00390625" style="70" customWidth="1"/>
    <col min="6" max="6" width="13.875" style="0" customWidth="1"/>
    <col min="7" max="7" width="9.375" style="67" customWidth="1"/>
    <col min="8" max="16384" width="9.125" style="63" customWidth="1"/>
  </cols>
  <sheetData>
    <row r="1" spans="2:7" ht="23.25">
      <c r="B1" s="60"/>
      <c r="C1" s="60"/>
      <c r="D1" s="61" t="s">
        <v>314</v>
      </c>
      <c r="E1" s="60"/>
      <c r="F1" s="60"/>
      <c r="G1" s="62"/>
    </row>
    <row r="2" spans="2:5" ht="14.25" customHeight="1">
      <c r="B2" s="64"/>
      <c r="C2" s="64"/>
      <c r="D2" s="65" t="s">
        <v>320</v>
      </c>
      <c r="E2" s="66"/>
    </row>
    <row r="3" spans="2:5" ht="13.5" customHeight="1">
      <c r="B3" s="64"/>
      <c r="C3" s="64"/>
      <c r="D3" s="68" t="s">
        <v>321</v>
      </c>
      <c r="E3" s="68"/>
    </row>
    <row r="4" spans="2:5" ht="13.5" customHeight="1">
      <c r="B4" s="64"/>
      <c r="C4" s="64"/>
      <c r="D4" s="69" t="s">
        <v>322</v>
      </c>
      <c r="E4" s="69"/>
    </row>
    <row r="5" spans="6:7" ht="13.5" thickBot="1">
      <c r="F5" s="71"/>
      <c r="G5" s="72" t="s">
        <v>323</v>
      </c>
    </row>
    <row r="6" spans="1:7" s="73" customFormat="1" ht="15" customHeight="1">
      <c r="A6" s="1126" t="s">
        <v>52</v>
      </c>
      <c r="B6" s="1128" t="s">
        <v>173</v>
      </c>
      <c r="C6" s="1128" t="s">
        <v>54</v>
      </c>
      <c r="D6" s="1124" t="s">
        <v>324</v>
      </c>
      <c r="E6" s="1130" t="s">
        <v>315</v>
      </c>
      <c r="F6" s="1132" t="s">
        <v>316</v>
      </c>
      <c r="G6" s="1134" t="s">
        <v>325</v>
      </c>
    </row>
    <row r="7" spans="1:7" s="73" customFormat="1" ht="15" customHeight="1">
      <c r="A7" s="1127"/>
      <c r="B7" s="1129"/>
      <c r="C7" s="1123"/>
      <c r="D7" s="1125"/>
      <c r="E7" s="1131"/>
      <c r="F7" s="1133"/>
      <c r="G7" s="1135"/>
    </row>
    <row r="8" spans="1:7" s="80" customFormat="1" ht="7.5" customHeight="1" thickBot="1">
      <c r="A8" s="74">
        <v>1</v>
      </c>
      <c r="B8" s="75">
        <v>2</v>
      </c>
      <c r="C8" s="75">
        <v>3</v>
      </c>
      <c r="D8" s="76">
        <v>4</v>
      </c>
      <c r="E8" s="77" t="s">
        <v>326</v>
      </c>
      <c r="F8" s="78">
        <v>6</v>
      </c>
      <c r="G8" s="79">
        <v>7</v>
      </c>
    </row>
    <row r="9" spans="1:7" s="80" customFormat="1" ht="13.5" thickBot="1">
      <c r="A9" s="81" t="s">
        <v>327</v>
      </c>
      <c r="B9" s="81"/>
      <c r="C9" s="81"/>
      <c r="D9" s="82" t="s">
        <v>328</v>
      </c>
      <c r="E9" s="83">
        <f>E11+E10</f>
        <v>334500</v>
      </c>
      <c r="F9" s="83">
        <f>F11+F10</f>
        <v>0</v>
      </c>
      <c r="G9" s="84">
        <f>F9*100/E9</f>
        <v>0</v>
      </c>
    </row>
    <row r="10" spans="1:7" s="933" customFormat="1" ht="12.75" hidden="1">
      <c r="A10" s="928"/>
      <c r="B10" s="929" t="s">
        <v>380</v>
      </c>
      <c r="C10" s="928"/>
      <c r="D10" s="930" t="s">
        <v>381</v>
      </c>
      <c r="E10" s="424">
        <v>0</v>
      </c>
      <c r="F10" s="931">
        <v>0</v>
      </c>
      <c r="G10" s="932" t="s">
        <v>810</v>
      </c>
    </row>
    <row r="11" spans="1:7" s="80" customFormat="1" ht="13.5" thickBot="1">
      <c r="A11" s="85"/>
      <c r="B11" s="85" t="s">
        <v>329</v>
      </c>
      <c r="C11" s="85"/>
      <c r="D11" s="86" t="s">
        <v>178</v>
      </c>
      <c r="E11" s="87">
        <v>334500</v>
      </c>
      <c r="F11" s="87">
        <v>0</v>
      </c>
      <c r="G11" s="88">
        <f>F11*100/E11</f>
        <v>0</v>
      </c>
    </row>
    <row r="12" spans="1:7" ht="13.5" thickBot="1">
      <c r="A12" s="81" t="s">
        <v>175</v>
      </c>
      <c r="B12" s="81"/>
      <c r="C12" s="81"/>
      <c r="D12" s="89" t="s">
        <v>176</v>
      </c>
      <c r="E12" s="90">
        <f>E13</f>
        <v>2400</v>
      </c>
      <c r="F12" s="90">
        <f>F13</f>
        <v>2500</v>
      </c>
      <c r="G12" s="84">
        <f>F12*100/E12</f>
        <v>104.16666666666667</v>
      </c>
    </row>
    <row r="13" spans="1:7" ht="13.5" thickBot="1">
      <c r="A13" s="91"/>
      <c r="B13" s="92" t="s">
        <v>177</v>
      </c>
      <c r="C13" s="92"/>
      <c r="D13" s="93" t="s">
        <v>178</v>
      </c>
      <c r="E13" s="94">
        <v>2400</v>
      </c>
      <c r="F13" s="94">
        <v>2500</v>
      </c>
      <c r="G13" s="95">
        <f aca="true" t="shared" si="0" ref="G13:G79">F13*100/E13</f>
        <v>104.16666666666667</v>
      </c>
    </row>
    <row r="14" spans="1:7" s="100" customFormat="1" ht="77.25" hidden="1" thickBot="1">
      <c r="A14" s="96"/>
      <c r="B14" s="96"/>
      <c r="C14" s="96" t="s">
        <v>179</v>
      </c>
      <c r="D14" s="97" t="s">
        <v>180</v>
      </c>
      <c r="E14" s="98">
        <v>1000</v>
      </c>
      <c r="F14" s="98">
        <v>2500</v>
      </c>
      <c r="G14" s="99">
        <f t="shared" si="0"/>
        <v>250</v>
      </c>
    </row>
    <row r="15" spans="1:7" s="102" customFormat="1" ht="13.5" thickBot="1">
      <c r="A15" s="101">
        <v>600</v>
      </c>
      <c r="B15" s="101"/>
      <c r="C15" s="81"/>
      <c r="D15" s="89" t="s">
        <v>181</v>
      </c>
      <c r="E15" s="90">
        <f>E16+E19</f>
        <v>675000</v>
      </c>
      <c r="F15" s="90">
        <f>F16+F19</f>
        <v>385600</v>
      </c>
      <c r="G15" s="84">
        <f t="shared" si="0"/>
        <v>57.12592592592593</v>
      </c>
    </row>
    <row r="16" spans="1:7" ht="12" customHeight="1">
      <c r="A16" s="470"/>
      <c r="B16" s="470">
        <v>60014</v>
      </c>
      <c r="C16" s="477"/>
      <c r="D16" s="478" t="s">
        <v>182</v>
      </c>
      <c r="E16" s="479">
        <v>35000</v>
      </c>
      <c r="F16" s="479">
        <v>40000</v>
      </c>
      <c r="G16" s="464">
        <f t="shared" si="0"/>
        <v>114.28571428571429</v>
      </c>
    </row>
    <row r="17" spans="1:7" s="100" customFormat="1" ht="51" hidden="1">
      <c r="A17" s="475"/>
      <c r="B17" s="475"/>
      <c r="C17" s="475" t="s">
        <v>183</v>
      </c>
      <c r="D17" s="476" t="s">
        <v>184</v>
      </c>
      <c r="E17" s="133">
        <v>30000</v>
      </c>
      <c r="F17" s="133">
        <v>30000</v>
      </c>
      <c r="G17" s="106">
        <f t="shared" si="0"/>
        <v>100</v>
      </c>
    </row>
    <row r="18" spans="1:7" s="100" customFormat="1" ht="51" hidden="1">
      <c r="A18" s="108"/>
      <c r="B18" s="108"/>
      <c r="C18" s="109" t="s">
        <v>330</v>
      </c>
      <c r="D18" s="110" t="s">
        <v>331</v>
      </c>
      <c r="E18" s="111">
        <v>165500</v>
      </c>
      <c r="F18" s="111">
        <v>0</v>
      </c>
      <c r="G18" s="106">
        <f t="shared" si="0"/>
        <v>0</v>
      </c>
    </row>
    <row r="19" spans="1:7" s="100" customFormat="1" ht="13.5" thickBot="1">
      <c r="A19" s="108"/>
      <c r="B19" s="103">
        <v>60016</v>
      </c>
      <c r="C19" s="91"/>
      <c r="D19" s="104" t="s">
        <v>396</v>
      </c>
      <c r="E19" s="105">
        <v>640000</v>
      </c>
      <c r="F19" s="105">
        <f>225600+120000</f>
        <v>345600</v>
      </c>
      <c r="G19" s="106">
        <f t="shared" si="0"/>
        <v>54</v>
      </c>
    </row>
    <row r="20" spans="1:7" s="102" customFormat="1" ht="13.5" thickBot="1">
      <c r="A20" s="101">
        <v>630</v>
      </c>
      <c r="B20" s="101"/>
      <c r="C20" s="81"/>
      <c r="D20" s="113" t="s">
        <v>332</v>
      </c>
      <c r="E20" s="90">
        <f>E21+E25</f>
        <v>8400</v>
      </c>
      <c r="F20" s="90">
        <f>F21+F25</f>
        <v>25000</v>
      </c>
      <c r="G20" s="84">
        <f t="shared" si="0"/>
        <v>297.6190476190476</v>
      </c>
    </row>
    <row r="21" spans="1:7" s="73" customFormat="1" ht="12.75">
      <c r="A21" s="457"/>
      <c r="B21" s="457">
        <v>63003</v>
      </c>
      <c r="C21" s="422"/>
      <c r="D21" s="474" t="s">
        <v>333</v>
      </c>
      <c r="E21" s="458">
        <v>8400</v>
      </c>
      <c r="F21" s="458">
        <v>0</v>
      </c>
      <c r="G21" s="459">
        <f t="shared" si="0"/>
        <v>0</v>
      </c>
    </row>
    <row r="22" spans="1:7" s="73" customFormat="1" ht="51" hidden="1">
      <c r="A22" s="114"/>
      <c r="B22" s="130"/>
      <c r="C22" s="131" t="s">
        <v>334</v>
      </c>
      <c r="D22" s="473" t="str">
        <f>'[1]1'!D15</f>
        <v>Środki na dofinansowanie własnych inwestycji gmin (związków gmin), powiatów (związków powiatów), samorządów województw, pozyskane z innych źródeł </v>
      </c>
      <c r="E22" s="133">
        <v>10570</v>
      </c>
      <c r="F22" s="133">
        <v>0</v>
      </c>
      <c r="G22" s="134"/>
    </row>
    <row r="23" spans="1:7" s="73" customFormat="1" ht="51.75" hidden="1" thickBot="1">
      <c r="A23" s="119"/>
      <c r="B23" s="120"/>
      <c r="C23" s="121" t="s">
        <v>335</v>
      </c>
      <c r="D23" s="122" t="s">
        <v>336</v>
      </c>
      <c r="E23" s="107">
        <v>12204</v>
      </c>
      <c r="F23" s="107">
        <v>0</v>
      </c>
      <c r="G23" s="123"/>
    </row>
    <row r="24" spans="1:7" s="100" customFormat="1" ht="77.25" hidden="1" thickBot="1">
      <c r="A24" s="124"/>
      <c r="B24" s="124"/>
      <c r="C24" s="125" t="s">
        <v>311</v>
      </c>
      <c r="D24" s="126" t="s">
        <v>337</v>
      </c>
      <c r="E24" s="127">
        <v>80962</v>
      </c>
      <c r="F24" s="127">
        <v>80812</v>
      </c>
      <c r="G24" s="128">
        <f t="shared" si="0"/>
        <v>99.81472789703811</v>
      </c>
    </row>
    <row r="25" spans="1:7" s="100" customFormat="1" ht="13.5" thickBot="1">
      <c r="A25" s="114"/>
      <c r="B25" s="114">
        <v>63095</v>
      </c>
      <c r="C25" s="115"/>
      <c r="D25" s="116" t="s">
        <v>178</v>
      </c>
      <c r="E25" s="117">
        <v>0</v>
      </c>
      <c r="F25" s="117">
        <v>25000</v>
      </c>
      <c r="G25" s="426" t="s">
        <v>810</v>
      </c>
    </row>
    <row r="26" spans="1:7" s="102" customFormat="1" ht="13.5" thickBot="1">
      <c r="A26" s="101">
        <v>700</v>
      </c>
      <c r="B26" s="101"/>
      <c r="C26" s="81"/>
      <c r="D26" s="113" t="s">
        <v>185</v>
      </c>
      <c r="E26" s="90">
        <f>E27</f>
        <v>531000</v>
      </c>
      <c r="F26" s="90">
        <f>F27</f>
        <v>503000</v>
      </c>
      <c r="G26" s="84">
        <f t="shared" si="0"/>
        <v>94.72693032015066</v>
      </c>
    </row>
    <row r="27" spans="1:7" ht="13.5" thickBot="1">
      <c r="A27" s="103"/>
      <c r="B27" s="103">
        <v>70005</v>
      </c>
      <c r="C27" s="91"/>
      <c r="D27" s="129" t="s">
        <v>186</v>
      </c>
      <c r="E27" s="105">
        <v>531000</v>
      </c>
      <c r="F27" s="105">
        <v>503000</v>
      </c>
      <c r="G27" s="106">
        <f t="shared" si="0"/>
        <v>94.72693032015066</v>
      </c>
    </row>
    <row r="28" spans="1:7" s="432" customFormat="1" ht="25.5" hidden="1">
      <c r="A28" s="427"/>
      <c r="B28" s="427"/>
      <c r="C28" s="428" t="s">
        <v>187</v>
      </c>
      <c r="D28" s="429" t="s">
        <v>197</v>
      </c>
      <c r="E28" s="133"/>
      <c r="F28" s="430">
        <v>29000</v>
      </c>
      <c r="G28" s="431" t="e">
        <f t="shared" si="0"/>
        <v>#DIV/0!</v>
      </c>
    </row>
    <row r="29" spans="1:7" s="432" customFormat="1" ht="76.5" hidden="1">
      <c r="A29" s="427"/>
      <c r="B29" s="427"/>
      <c r="C29" s="428" t="s">
        <v>179</v>
      </c>
      <c r="D29" s="429" t="s">
        <v>198</v>
      </c>
      <c r="E29" s="133"/>
      <c r="F29" s="430">
        <v>77000</v>
      </c>
      <c r="G29" s="431" t="e">
        <f t="shared" si="0"/>
        <v>#DIV/0!</v>
      </c>
    </row>
    <row r="30" spans="1:7" s="432" customFormat="1" ht="39" hidden="1" thickBot="1">
      <c r="A30" s="433"/>
      <c r="B30" s="433"/>
      <c r="C30" s="434" t="s">
        <v>199</v>
      </c>
      <c r="D30" s="435" t="s">
        <v>202</v>
      </c>
      <c r="E30" s="111">
        <v>480000</v>
      </c>
      <c r="F30" s="436">
        <v>365000</v>
      </c>
      <c r="G30" s="437">
        <f t="shared" si="0"/>
        <v>76.04166666666667</v>
      </c>
    </row>
    <row r="31" spans="1:7" s="102" customFormat="1" ht="13.5" thickBot="1">
      <c r="A31" s="101">
        <v>710</v>
      </c>
      <c r="B31" s="101"/>
      <c r="C31" s="81"/>
      <c r="D31" s="89" t="s">
        <v>203</v>
      </c>
      <c r="E31" s="90">
        <f>E32</f>
        <v>3600</v>
      </c>
      <c r="F31" s="90">
        <f>F32</f>
        <v>4000</v>
      </c>
      <c r="G31" s="84">
        <f t="shared" si="0"/>
        <v>111.11111111111111</v>
      </c>
    </row>
    <row r="32" spans="1:7" ht="13.5" thickBot="1">
      <c r="A32" s="103"/>
      <c r="B32" s="103">
        <v>71035</v>
      </c>
      <c r="C32" s="91"/>
      <c r="D32" s="104" t="s">
        <v>204</v>
      </c>
      <c r="E32" s="105">
        <v>3600</v>
      </c>
      <c r="F32" s="105">
        <v>4000</v>
      </c>
      <c r="G32" s="106">
        <f t="shared" si="0"/>
        <v>111.11111111111111</v>
      </c>
    </row>
    <row r="33" spans="1:7" s="100" customFormat="1" ht="13.5" hidden="1" thickBot="1">
      <c r="A33" s="108"/>
      <c r="B33" s="108"/>
      <c r="C33" s="109" t="s">
        <v>205</v>
      </c>
      <c r="D33" s="135" t="s">
        <v>206</v>
      </c>
      <c r="E33" s="111">
        <v>9200</v>
      </c>
      <c r="F33" s="111">
        <v>4000</v>
      </c>
      <c r="G33" s="112">
        <f t="shared" si="0"/>
        <v>43.47826086956522</v>
      </c>
    </row>
    <row r="34" spans="1:7" s="102" customFormat="1" ht="13.5" thickBot="1">
      <c r="A34" s="101">
        <v>750</v>
      </c>
      <c r="B34" s="101"/>
      <c r="C34" s="81"/>
      <c r="D34" s="89" t="s">
        <v>207</v>
      </c>
      <c r="E34" s="90">
        <f>E35+E38+E40</f>
        <v>71600</v>
      </c>
      <c r="F34" s="90">
        <f>F35+F38+F40</f>
        <v>64600</v>
      </c>
      <c r="G34" s="84">
        <f t="shared" si="0"/>
        <v>90.22346368715084</v>
      </c>
    </row>
    <row r="35" spans="1:7" ht="12.75">
      <c r="A35" s="103"/>
      <c r="B35" s="103">
        <v>75011</v>
      </c>
      <c r="C35" s="91"/>
      <c r="D35" s="104" t="s">
        <v>208</v>
      </c>
      <c r="E35" s="105">
        <v>68700</v>
      </c>
      <c r="F35" s="105">
        <v>61200</v>
      </c>
      <c r="G35" s="106">
        <f t="shared" si="0"/>
        <v>89.08296943231441</v>
      </c>
    </row>
    <row r="36" spans="1:7" s="100" customFormat="1" ht="51" hidden="1">
      <c r="A36" s="130"/>
      <c r="B36" s="130"/>
      <c r="C36" s="131" t="s">
        <v>209</v>
      </c>
      <c r="D36" s="132" t="s">
        <v>210</v>
      </c>
      <c r="E36" s="133">
        <v>58000</v>
      </c>
      <c r="F36" s="133">
        <v>58000</v>
      </c>
      <c r="G36" s="134">
        <f t="shared" si="0"/>
        <v>100</v>
      </c>
    </row>
    <row r="37" spans="1:7" s="100" customFormat="1" ht="51" hidden="1">
      <c r="A37" s="130"/>
      <c r="B37" s="130"/>
      <c r="C37" s="131" t="s">
        <v>211</v>
      </c>
      <c r="D37" s="132" t="s">
        <v>338</v>
      </c>
      <c r="E37" s="133">
        <v>1200</v>
      </c>
      <c r="F37" s="133">
        <v>1350</v>
      </c>
      <c r="G37" s="134">
        <f t="shared" si="0"/>
        <v>112.5</v>
      </c>
    </row>
    <row r="38" spans="1:7" ht="12.75">
      <c r="A38" s="103"/>
      <c r="B38" s="103">
        <v>75020</v>
      </c>
      <c r="C38" s="91"/>
      <c r="D38" s="104" t="s">
        <v>213</v>
      </c>
      <c r="E38" s="105">
        <f>E39</f>
        <v>2400</v>
      </c>
      <c r="F38" s="105">
        <v>2400</v>
      </c>
      <c r="G38" s="106">
        <f t="shared" si="0"/>
        <v>100</v>
      </c>
    </row>
    <row r="39" spans="1:7" s="100" customFormat="1" ht="51" hidden="1">
      <c r="A39" s="130"/>
      <c r="B39" s="130"/>
      <c r="C39" s="131" t="s">
        <v>183</v>
      </c>
      <c r="D39" s="132" t="s">
        <v>184</v>
      </c>
      <c r="E39" s="133">
        <v>2400</v>
      </c>
      <c r="F39" s="133">
        <v>2400</v>
      </c>
      <c r="G39" s="134">
        <f t="shared" si="0"/>
        <v>100</v>
      </c>
    </row>
    <row r="40" spans="1:7" ht="26.25" thickBot="1">
      <c r="A40" s="103"/>
      <c r="B40" s="103">
        <v>75023</v>
      </c>
      <c r="C40" s="91"/>
      <c r="D40" s="104" t="s">
        <v>214</v>
      </c>
      <c r="E40" s="105">
        <v>500</v>
      </c>
      <c r="F40" s="105">
        <v>1000</v>
      </c>
      <c r="G40" s="106">
        <f t="shared" si="0"/>
        <v>200</v>
      </c>
    </row>
    <row r="41" spans="1:7" s="100" customFormat="1" ht="13.5" hidden="1" thickBot="1">
      <c r="A41" s="108"/>
      <c r="B41" s="108"/>
      <c r="C41" s="109" t="s">
        <v>205</v>
      </c>
      <c r="D41" s="135" t="s">
        <v>215</v>
      </c>
      <c r="E41" s="111">
        <v>2200</v>
      </c>
      <c r="F41" s="111">
        <v>1000</v>
      </c>
      <c r="G41" s="112">
        <f t="shared" si="0"/>
        <v>45.45454545454545</v>
      </c>
    </row>
    <row r="42" spans="1:7" s="102" customFormat="1" ht="39" thickBot="1">
      <c r="A42" s="101">
        <v>751</v>
      </c>
      <c r="B42" s="101"/>
      <c r="C42" s="81"/>
      <c r="D42" s="89" t="s">
        <v>216</v>
      </c>
      <c r="E42" s="90">
        <f>E43+E46+E45</f>
        <v>2862</v>
      </c>
      <c r="F42" s="90">
        <f>F43+F46+F45</f>
        <v>720</v>
      </c>
      <c r="G42" s="84">
        <f t="shared" si="0"/>
        <v>25.157232704402517</v>
      </c>
    </row>
    <row r="43" spans="1:7" ht="25.5">
      <c r="A43" s="103"/>
      <c r="B43" s="103">
        <v>75101</v>
      </c>
      <c r="C43" s="91"/>
      <c r="D43" s="104" t="s">
        <v>217</v>
      </c>
      <c r="E43" s="105">
        <v>648</v>
      </c>
      <c r="F43" s="105">
        <v>720</v>
      </c>
      <c r="G43" s="106">
        <f t="shared" si="0"/>
        <v>111.11111111111111</v>
      </c>
    </row>
    <row r="44" spans="1:7" s="100" customFormat="1" ht="51" hidden="1">
      <c r="A44" s="108"/>
      <c r="B44" s="108"/>
      <c r="C44" s="109" t="s">
        <v>209</v>
      </c>
      <c r="D44" s="135" t="s">
        <v>210</v>
      </c>
      <c r="E44" s="111">
        <v>0</v>
      </c>
      <c r="F44" s="111">
        <v>0</v>
      </c>
      <c r="G44" s="106" t="e">
        <f t="shared" si="0"/>
        <v>#DIV/0!</v>
      </c>
    </row>
    <row r="45" spans="1:7" s="100" customFormat="1" ht="12.75" hidden="1">
      <c r="A45" s="130"/>
      <c r="B45" s="114">
        <v>75108</v>
      </c>
      <c r="C45" s="131"/>
      <c r="D45" s="141" t="s">
        <v>655</v>
      </c>
      <c r="E45" s="117">
        <v>0</v>
      </c>
      <c r="F45" s="117">
        <v>0</v>
      </c>
      <c r="G45" s="106" t="e">
        <f t="shared" si="0"/>
        <v>#DIV/0!</v>
      </c>
    </row>
    <row r="46" spans="1:7" s="100" customFormat="1" ht="51.75" thickBot="1">
      <c r="A46" s="108"/>
      <c r="B46" s="136">
        <v>75109</v>
      </c>
      <c r="C46" s="85"/>
      <c r="D46" s="137" t="str">
        <f>'[1]PWW'!D121</f>
        <v>Wybory do rad gmin, rad powiatów i sejmików województw, wybory wójtów, burmistrzów i prezydentów miast oraz referenda gminne, powiatowe i wojewódzkie</v>
      </c>
      <c r="E46" s="138">
        <v>2214</v>
      </c>
      <c r="F46" s="138">
        <v>0</v>
      </c>
      <c r="G46" s="139">
        <f t="shared" si="0"/>
        <v>0</v>
      </c>
    </row>
    <row r="47" spans="1:7" s="102" customFormat="1" ht="26.25" hidden="1" thickBot="1">
      <c r="A47" s="101">
        <v>754</v>
      </c>
      <c r="B47" s="101"/>
      <c r="C47" s="81"/>
      <c r="D47" s="89" t="s">
        <v>339</v>
      </c>
      <c r="E47" s="90">
        <f>E48</f>
        <v>0</v>
      </c>
      <c r="F47" s="90">
        <v>0</v>
      </c>
      <c r="G47" s="84" t="e">
        <f t="shared" si="0"/>
        <v>#DIV/0!</v>
      </c>
    </row>
    <row r="48" spans="1:7" s="73" customFormat="1" ht="13.5" hidden="1" thickBot="1">
      <c r="A48" s="136"/>
      <c r="B48" s="136">
        <v>75414</v>
      </c>
      <c r="C48" s="85"/>
      <c r="D48" s="140" t="s">
        <v>572</v>
      </c>
      <c r="E48" s="138">
        <v>0</v>
      </c>
      <c r="F48" s="138">
        <v>0</v>
      </c>
      <c r="G48" s="139" t="e">
        <f t="shared" si="0"/>
        <v>#DIV/0!</v>
      </c>
    </row>
    <row r="49" spans="1:7" s="102" customFormat="1" ht="51.75" thickBot="1">
      <c r="A49" s="101">
        <v>756</v>
      </c>
      <c r="B49" s="101"/>
      <c r="C49" s="81"/>
      <c r="D49" s="89" t="s">
        <v>218</v>
      </c>
      <c r="E49" s="90">
        <f>E50+E52+E58+E70+E74+E76+E78</f>
        <v>3482747</v>
      </c>
      <c r="F49" s="90">
        <f>F50+F52+F58+F70+F74+F76+F78</f>
        <v>3684101</v>
      </c>
      <c r="G49" s="84">
        <f t="shared" si="0"/>
        <v>105.78147077579852</v>
      </c>
    </row>
    <row r="50" spans="1:7" ht="25.5">
      <c r="A50" s="103"/>
      <c r="B50" s="103">
        <v>75601</v>
      </c>
      <c r="C50" s="91"/>
      <c r="D50" s="104" t="s">
        <v>219</v>
      </c>
      <c r="E50" s="105">
        <v>4000</v>
      </c>
      <c r="F50" s="105">
        <v>5000</v>
      </c>
      <c r="G50" s="106">
        <f t="shared" si="0"/>
        <v>125</v>
      </c>
    </row>
    <row r="51" spans="1:7" s="100" customFormat="1" ht="25.5" hidden="1">
      <c r="A51" s="130"/>
      <c r="B51" s="130"/>
      <c r="C51" s="131" t="s">
        <v>220</v>
      </c>
      <c r="D51" s="132" t="s">
        <v>341</v>
      </c>
      <c r="E51" s="133">
        <v>5000</v>
      </c>
      <c r="F51" s="133">
        <v>5000</v>
      </c>
      <c r="G51" s="134">
        <f t="shared" si="0"/>
        <v>100</v>
      </c>
    </row>
    <row r="52" spans="1:7" ht="51">
      <c r="A52" s="103"/>
      <c r="B52" s="103">
        <v>75615</v>
      </c>
      <c r="C52" s="91"/>
      <c r="D52" s="104" t="s">
        <v>222</v>
      </c>
      <c r="E52" s="105">
        <f>SUM(E53:E57)</f>
        <v>1469000</v>
      </c>
      <c r="F52" s="105">
        <v>1380011</v>
      </c>
      <c r="G52" s="106">
        <f t="shared" si="0"/>
        <v>93.94220558202859</v>
      </c>
    </row>
    <row r="53" spans="1:7" s="432" customFormat="1" ht="12.75" hidden="1">
      <c r="A53" s="427"/>
      <c r="B53" s="427"/>
      <c r="C53" s="428" t="s">
        <v>223</v>
      </c>
      <c r="D53" s="429" t="s">
        <v>224</v>
      </c>
      <c r="E53" s="133">
        <v>888000</v>
      </c>
      <c r="F53" s="430"/>
      <c r="G53" s="431">
        <f t="shared" si="0"/>
        <v>0</v>
      </c>
    </row>
    <row r="54" spans="1:7" s="432" customFormat="1" ht="12.75" hidden="1">
      <c r="A54" s="427"/>
      <c r="B54" s="427"/>
      <c r="C54" s="428" t="s">
        <v>225</v>
      </c>
      <c r="D54" s="429" t="s">
        <v>226</v>
      </c>
      <c r="E54" s="133">
        <v>460000</v>
      </c>
      <c r="F54" s="430"/>
      <c r="G54" s="431">
        <f t="shared" si="0"/>
        <v>0</v>
      </c>
    </row>
    <row r="55" spans="1:7" s="432" customFormat="1" ht="12.75" hidden="1">
      <c r="A55" s="427"/>
      <c r="B55" s="427"/>
      <c r="C55" s="428" t="s">
        <v>227</v>
      </c>
      <c r="D55" s="429" t="s">
        <v>228</v>
      </c>
      <c r="E55" s="133">
        <v>63000</v>
      </c>
      <c r="F55" s="430"/>
      <c r="G55" s="431">
        <f t="shared" si="0"/>
        <v>0</v>
      </c>
    </row>
    <row r="56" spans="1:7" s="432" customFormat="1" ht="12.75" hidden="1">
      <c r="A56" s="427"/>
      <c r="B56" s="427"/>
      <c r="C56" s="428" t="s">
        <v>229</v>
      </c>
      <c r="D56" s="429" t="s">
        <v>230</v>
      </c>
      <c r="E56" s="133">
        <v>33000</v>
      </c>
      <c r="F56" s="430"/>
      <c r="G56" s="431">
        <f t="shared" si="0"/>
        <v>0</v>
      </c>
    </row>
    <row r="57" spans="1:7" s="432" customFormat="1" ht="25.5" hidden="1">
      <c r="A57" s="427"/>
      <c r="B57" s="427"/>
      <c r="C57" s="428" t="s">
        <v>231</v>
      </c>
      <c r="D57" s="429" t="s">
        <v>342</v>
      </c>
      <c r="E57" s="133">
        <v>25000</v>
      </c>
      <c r="F57" s="430"/>
      <c r="G57" s="431">
        <f t="shared" si="0"/>
        <v>0</v>
      </c>
    </row>
    <row r="58" spans="1:7" ht="51">
      <c r="A58" s="103"/>
      <c r="B58" s="103">
        <v>75616</v>
      </c>
      <c r="C58" s="91"/>
      <c r="D58" s="104" t="s">
        <v>232</v>
      </c>
      <c r="E58" s="105">
        <f>SUM(E59:E69)</f>
        <v>960687</v>
      </c>
      <c r="F58" s="105">
        <v>1190900</v>
      </c>
      <c r="G58" s="106">
        <f t="shared" si="0"/>
        <v>123.96337204521348</v>
      </c>
    </row>
    <row r="59" spans="1:7" s="432" customFormat="1" ht="12.75" hidden="1">
      <c r="A59" s="427"/>
      <c r="B59" s="427"/>
      <c r="C59" s="428" t="s">
        <v>223</v>
      </c>
      <c r="D59" s="429" t="s">
        <v>224</v>
      </c>
      <c r="E59" s="133">
        <v>410000</v>
      </c>
      <c r="F59" s="430"/>
      <c r="G59" s="431">
        <f t="shared" si="0"/>
        <v>0</v>
      </c>
    </row>
    <row r="60" spans="1:7" s="432" customFormat="1" ht="12.75" hidden="1">
      <c r="A60" s="427"/>
      <c r="B60" s="427"/>
      <c r="C60" s="428" t="s">
        <v>225</v>
      </c>
      <c r="D60" s="429" t="s">
        <v>226</v>
      </c>
      <c r="E60" s="133">
        <v>413000</v>
      </c>
      <c r="F60" s="430"/>
      <c r="G60" s="431">
        <f t="shared" si="0"/>
        <v>0</v>
      </c>
    </row>
    <row r="61" spans="1:7" s="432" customFormat="1" ht="12.75" hidden="1">
      <c r="A61" s="427"/>
      <c r="B61" s="427"/>
      <c r="C61" s="428" t="s">
        <v>227</v>
      </c>
      <c r="D61" s="429" t="s">
        <v>228</v>
      </c>
      <c r="E61" s="133">
        <v>1000</v>
      </c>
      <c r="F61" s="430"/>
      <c r="G61" s="431">
        <f t="shared" si="0"/>
        <v>0</v>
      </c>
    </row>
    <row r="62" spans="1:7" s="432" customFormat="1" ht="12.75" hidden="1">
      <c r="A62" s="427"/>
      <c r="B62" s="427"/>
      <c r="C62" s="428" t="s">
        <v>229</v>
      </c>
      <c r="D62" s="429" t="s">
        <v>230</v>
      </c>
      <c r="E62" s="133">
        <v>26000</v>
      </c>
      <c r="F62" s="430"/>
      <c r="G62" s="431">
        <f t="shared" si="0"/>
        <v>0</v>
      </c>
    </row>
    <row r="63" spans="1:7" s="432" customFormat="1" ht="12.75" hidden="1">
      <c r="A63" s="427"/>
      <c r="B63" s="427"/>
      <c r="C63" s="428" t="s">
        <v>233</v>
      </c>
      <c r="D63" s="429" t="s">
        <v>234</v>
      </c>
      <c r="E63" s="133">
        <v>6000</v>
      </c>
      <c r="F63" s="430"/>
      <c r="G63" s="431">
        <f t="shared" si="0"/>
        <v>0</v>
      </c>
    </row>
    <row r="64" spans="1:7" s="432" customFormat="1" ht="12.75" hidden="1">
      <c r="A64" s="427"/>
      <c r="B64" s="427"/>
      <c r="C64" s="428" t="s">
        <v>235</v>
      </c>
      <c r="D64" s="429" t="s">
        <v>343</v>
      </c>
      <c r="E64" s="133">
        <v>6000</v>
      </c>
      <c r="F64" s="430"/>
      <c r="G64" s="431">
        <f t="shared" si="0"/>
        <v>0</v>
      </c>
    </row>
    <row r="65" spans="1:7" s="432" customFormat="1" ht="12.75" hidden="1">
      <c r="A65" s="427"/>
      <c r="B65" s="427"/>
      <c r="C65" s="428" t="s">
        <v>236</v>
      </c>
      <c r="D65" s="429" t="s">
        <v>237</v>
      </c>
      <c r="E65" s="133">
        <v>4000</v>
      </c>
      <c r="F65" s="430"/>
      <c r="G65" s="431">
        <f t="shared" si="0"/>
        <v>0</v>
      </c>
    </row>
    <row r="66" spans="1:7" s="432" customFormat="1" ht="12.75" hidden="1">
      <c r="A66" s="427"/>
      <c r="B66" s="427"/>
      <c r="C66" s="428" t="s">
        <v>238</v>
      </c>
      <c r="D66" s="429" t="s">
        <v>239</v>
      </c>
      <c r="E66" s="133">
        <v>3000</v>
      </c>
      <c r="F66" s="430"/>
      <c r="G66" s="431">
        <f t="shared" si="0"/>
        <v>0</v>
      </c>
    </row>
    <row r="67" spans="1:7" s="432" customFormat="1" ht="25.5" hidden="1">
      <c r="A67" s="427"/>
      <c r="B67" s="427"/>
      <c r="C67" s="428" t="s">
        <v>344</v>
      </c>
      <c r="D67" s="429" t="s">
        <v>345</v>
      </c>
      <c r="E67" s="133">
        <v>687</v>
      </c>
      <c r="F67" s="430"/>
      <c r="G67" s="431">
        <v>0</v>
      </c>
    </row>
    <row r="68" spans="1:7" s="432" customFormat="1" ht="12.75" hidden="1">
      <c r="A68" s="427"/>
      <c r="B68" s="427"/>
      <c r="C68" s="428" t="s">
        <v>240</v>
      </c>
      <c r="D68" s="429" t="s">
        <v>241</v>
      </c>
      <c r="E68" s="133">
        <v>66000</v>
      </c>
      <c r="F68" s="430"/>
      <c r="G68" s="431">
        <f t="shared" si="0"/>
        <v>0</v>
      </c>
    </row>
    <row r="69" spans="1:7" s="432" customFormat="1" ht="25.5" hidden="1">
      <c r="A69" s="427"/>
      <c r="B69" s="427"/>
      <c r="C69" s="428" t="s">
        <v>231</v>
      </c>
      <c r="D69" s="429" t="s">
        <v>342</v>
      </c>
      <c r="E69" s="133">
        <v>25000</v>
      </c>
      <c r="F69" s="430"/>
      <c r="G69" s="431">
        <f t="shared" si="0"/>
        <v>0</v>
      </c>
    </row>
    <row r="70" spans="1:7" ht="38.25">
      <c r="A70" s="103"/>
      <c r="B70" s="103">
        <v>75618</v>
      </c>
      <c r="C70" s="91"/>
      <c r="D70" s="104" t="s">
        <v>242</v>
      </c>
      <c r="E70" s="105">
        <v>111000</v>
      </c>
      <c r="F70" s="105">
        <v>115414</v>
      </c>
      <c r="G70" s="106">
        <f t="shared" si="0"/>
        <v>103.97657657657658</v>
      </c>
    </row>
    <row r="71" spans="1:7" s="432" customFormat="1" ht="12.75" hidden="1">
      <c r="A71" s="427"/>
      <c r="B71" s="427"/>
      <c r="C71" s="428" t="s">
        <v>243</v>
      </c>
      <c r="D71" s="429" t="s">
        <v>244</v>
      </c>
      <c r="E71" s="133"/>
      <c r="F71" s="430"/>
      <c r="G71" s="431" t="e">
        <f t="shared" si="0"/>
        <v>#DIV/0!</v>
      </c>
    </row>
    <row r="72" spans="1:7" s="432" customFormat="1" ht="25.5" hidden="1">
      <c r="A72" s="427"/>
      <c r="B72" s="427"/>
      <c r="C72" s="428" t="s">
        <v>245</v>
      </c>
      <c r="D72" s="429" t="s">
        <v>246</v>
      </c>
      <c r="E72" s="133"/>
      <c r="F72" s="430"/>
      <c r="G72" s="431" t="e">
        <f t="shared" si="0"/>
        <v>#DIV/0!</v>
      </c>
    </row>
    <row r="73" spans="1:7" s="432" customFormat="1" ht="25.5" hidden="1">
      <c r="A73" s="427"/>
      <c r="B73" s="427"/>
      <c r="C73" s="428" t="s">
        <v>247</v>
      </c>
      <c r="D73" s="429" t="s">
        <v>197</v>
      </c>
      <c r="E73" s="133"/>
      <c r="F73" s="430"/>
      <c r="G73" s="431" t="e">
        <f t="shared" si="0"/>
        <v>#DIV/0!</v>
      </c>
    </row>
    <row r="74" spans="1:7" ht="12.75" hidden="1">
      <c r="A74" s="103"/>
      <c r="B74" s="103">
        <v>75619</v>
      </c>
      <c r="C74" s="91"/>
      <c r="D74" s="104" t="s">
        <v>249</v>
      </c>
      <c r="E74" s="105">
        <v>0</v>
      </c>
      <c r="F74" s="105">
        <f>F75</f>
        <v>0</v>
      </c>
      <c r="G74" s="106" t="e">
        <f t="shared" si="0"/>
        <v>#DIV/0!</v>
      </c>
    </row>
    <row r="75" spans="1:7" s="432" customFormat="1" ht="12.75" hidden="1">
      <c r="A75" s="427"/>
      <c r="B75" s="427"/>
      <c r="C75" s="428" t="s">
        <v>250</v>
      </c>
      <c r="D75" s="429" t="s">
        <v>251</v>
      </c>
      <c r="E75" s="133">
        <v>0</v>
      </c>
      <c r="F75" s="430">
        <v>0</v>
      </c>
      <c r="G75" s="431" t="e">
        <f t="shared" si="0"/>
        <v>#DIV/0!</v>
      </c>
    </row>
    <row r="76" spans="1:7" ht="25.5">
      <c r="A76" s="103"/>
      <c r="B76" s="103">
        <v>75621</v>
      </c>
      <c r="C76" s="91"/>
      <c r="D76" s="104" t="s">
        <v>252</v>
      </c>
      <c r="E76" s="105">
        <v>938000</v>
      </c>
      <c r="F76" s="105">
        <v>992751</v>
      </c>
      <c r="G76" s="106">
        <f t="shared" si="0"/>
        <v>105.83699360341151</v>
      </c>
    </row>
    <row r="77" spans="1:7" s="432" customFormat="1" ht="12.75" hidden="1">
      <c r="A77" s="427"/>
      <c r="B77" s="427"/>
      <c r="C77" s="428" t="s">
        <v>253</v>
      </c>
      <c r="D77" s="429" t="s">
        <v>254</v>
      </c>
      <c r="E77" s="133">
        <v>938000</v>
      </c>
      <c r="F77" s="430">
        <f>1!F69</f>
        <v>992751</v>
      </c>
      <c r="G77" s="431">
        <f t="shared" si="0"/>
        <v>105.83699360341151</v>
      </c>
    </row>
    <row r="78" spans="1:7" ht="13.5" thickBot="1">
      <c r="A78" s="103"/>
      <c r="B78" s="103">
        <v>75624</v>
      </c>
      <c r="C78" s="91"/>
      <c r="D78" s="104" t="s">
        <v>255</v>
      </c>
      <c r="E78" s="105">
        <v>60</v>
      </c>
      <c r="F78" s="105">
        <v>25</v>
      </c>
      <c r="G78" s="421" t="s">
        <v>810</v>
      </c>
    </row>
    <row r="79" spans="1:7" s="100" customFormat="1" ht="26.25" hidden="1" thickBot="1">
      <c r="A79" s="108"/>
      <c r="B79" s="108"/>
      <c r="C79" s="109" t="s">
        <v>256</v>
      </c>
      <c r="D79" s="135" t="s">
        <v>257</v>
      </c>
      <c r="E79" s="111">
        <v>25</v>
      </c>
      <c r="F79" s="111">
        <v>25</v>
      </c>
      <c r="G79" s="112">
        <f t="shared" si="0"/>
        <v>100</v>
      </c>
    </row>
    <row r="80" spans="1:7" s="102" customFormat="1" ht="13.5" thickBot="1">
      <c r="A80" s="101">
        <v>758</v>
      </c>
      <c r="B80" s="101"/>
      <c r="C80" s="81"/>
      <c r="D80" s="89" t="s">
        <v>258</v>
      </c>
      <c r="E80" s="90">
        <f>E81+E83+E90+E85+E88</f>
        <v>3440770</v>
      </c>
      <c r="F80" s="90">
        <f>F81+F83+F90</f>
        <v>3990386</v>
      </c>
      <c r="G80" s="84">
        <f aca="true" t="shared" si="1" ref="G80:G141">F80*100/E80</f>
        <v>115.97363380871143</v>
      </c>
    </row>
    <row r="81" spans="1:7" s="73" customFormat="1" ht="25.5">
      <c r="A81" s="114"/>
      <c r="B81" s="114">
        <v>75801</v>
      </c>
      <c r="C81" s="115"/>
      <c r="D81" s="141" t="s">
        <v>259</v>
      </c>
      <c r="E81" s="117">
        <v>2431805</v>
      </c>
      <c r="F81" s="117">
        <v>2679834</v>
      </c>
      <c r="G81" s="118">
        <f t="shared" si="1"/>
        <v>110.19937865083755</v>
      </c>
    </row>
    <row r="82" spans="1:7" s="100" customFormat="1" ht="12.75" hidden="1">
      <c r="A82" s="130"/>
      <c r="B82" s="130"/>
      <c r="C82" s="131">
        <v>2920</v>
      </c>
      <c r="D82" s="132" t="s">
        <v>260</v>
      </c>
      <c r="E82" s="133">
        <v>2290713</v>
      </c>
      <c r="F82" s="133">
        <v>2357592</v>
      </c>
      <c r="G82" s="134">
        <f t="shared" si="1"/>
        <v>102.91957132997456</v>
      </c>
    </row>
    <row r="83" spans="1:7" ht="15.75" customHeight="1">
      <c r="A83" s="103"/>
      <c r="B83" s="103">
        <v>75807</v>
      </c>
      <c r="C83" s="91"/>
      <c r="D83" s="104" t="s">
        <v>261</v>
      </c>
      <c r="E83" s="105">
        <v>915259</v>
      </c>
      <c r="F83" s="105">
        <v>1214988</v>
      </c>
      <c r="G83" s="106">
        <f t="shared" si="1"/>
        <v>132.7479981076395</v>
      </c>
    </row>
    <row r="84" spans="1:7" s="100" customFormat="1" ht="12.75" hidden="1">
      <c r="A84" s="130"/>
      <c r="B84" s="130"/>
      <c r="C84" s="131">
        <v>2920</v>
      </c>
      <c r="D84" s="132" t="s">
        <v>260</v>
      </c>
      <c r="E84" s="133">
        <v>455933</v>
      </c>
      <c r="F84" s="133">
        <f>1!F76</f>
        <v>1214988</v>
      </c>
      <c r="G84" s="134">
        <f t="shared" si="1"/>
        <v>266.4838912734985</v>
      </c>
    </row>
    <row r="85" spans="1:7" s="73" customFormat="1" ht="12.75">
      <c r="A85" s="114"/>
      <c r="B85" s="114">
        <v>75814</v>
      </c>
      <c r="C85" s="115"/>
      <c r="D85" s="141" t="s">
        <v>346</v>
      </c>
      <c r="E85" s="117">
        <f>E86+E87</f>
        <v>5046</v>
      </c>
      <c r="F85" s="117">
        <v>0</v>
      </c>
      <c r="G85" s="118">
        <f t="shared" si="1"/>
        <v>0</v>
      </c>
    </row>
    <row r="86" spans="1:7" s="73" customFormat="1" ht="25.5" hidden="1">
      <c r="A86" s="130"/>
      <c r="B86" s="130"/>
      <c r="C86" s="131" t="s">
        <v>347</v>
      </c>
      <c r="D86" s="132" t="s">
        <v>342</v>
      </c>
      <c r="E86" s="133">
        <v>5046</v>
      </c>
      <c r="F86" s="133">
        <v>0</v>
      </c>
      <c r="G86" s="118">
        <f t="shared" si="1"/>
        <v>0</v>
      </c>
    </row>
    <row r="87" spans="1:7" s="452" customFormat="1" ht="12.75" hidden="1">
      <c r="A87" s="427"/>
      <c r="B87" s="427"/>
      <c r="C87" s="428" t="s">
        <v>348</v>
      </c>
      <c r="D87" s="429" t="s">
        <v>349</v>
      </c>
      <c r="E87" s="133">
        <v>0</v>
      </c>
      <c r="F87" s="430">
        <v>0</v>
      </c>
      <c r="G87" s="487" t="e">
        <f t="shared" si="1"/>
        <v>#DIV/0!</v>
      </c>
    </row>
    <row r="88" spans="1:7" s="452" customFormat="1" ht="12.75" hidden="1">
      <c r="A88" s="483"/>
      <c r="B88" s="483">
        <v>75815</v>
      </c>
      <c r="C88" s="484"/>
      <c r="D88" s="485" t="s">
        <v>350</v>
      </c>
      <c r="E88" s="117">
        <v>0</v>
      </c>
      <c r="F88" s="486">
        <v>0</v>
      </c>
      <c r="G88" s="487" t="e">
        <f t="shared" si="1"/>
        <v>#DIV/0!</v>
      </c>
    </row>
    <row r="89" spans="1:7" s="452" customFormat="1" ht="12.75" hidden="1">
      <c r="A89" s="483"/>
      <c r="B89" s="483"/>
      <c r="C89" s="428" t="s">
        <v>351</v>
      </c>
      <c r="D89" s="429" t="s">
        <v>350</v>
      </c>
      <c r="E89" s="133">
        <v>0</v>
      </c>
      <c r="F89" s="486">
        <v>0</v>
      </c>
      <c r="G89" s="487" t="e">
        <f t="shared" si="1"/>
        <v>#DIV/0!</v>
      </c>
    </row>
    <row r="90" spans="1:7" ht="15.75" customHeight="1" thickBot="1">
      <c r="A90" s="103"/>
      <c r="B90" s="103">
        <v>75831</v>
      </c>
      <c r="C90" s="91"/>
      <c r="D90" s="104" t="s">
        <v>262</v>
      </c>
      <c r="E90" s="105">
        <v>88660</v>
      </c>
      <c r="F90" s="105">
        <v>95564</v>
      </c>
      <c r="G90" s="106">
        <f t="shared" si="1"/>
        <v>107.7870516580194</v>
      </c>
    </row>
    <row r="91" spans="1:7" s="432" customFormat="1" ht="13.5" hidden="1" thickBot="1">
      <c r="A91" s="433"/>
      <c r="B91" s="433"/>
      <c r="C91" s="434">
        <v>2920</v>
      </c>
      <c r="D91" s="435" t="s">
        <v>260</v>
      </c>
      <c r="E91" s="111">
        <v>76072</v>
      </c>
      <c r="F91" s="436">
        <f>1!F78</f>
        <v>95564</v>
      </c>
      <c r="G91" s="437">
        <f t="shared" si="1"/>
        <v>125.62309391103166</v>
      </c>
    </row>
    <row r="92" spans="1:7" s="102" customFormat="1" ht="13.5" thickBot="1">
      <c r="A92" s="101">
        <v>801</v>
      </c>
      <c r="B92" s="101"/>
      <c r="C92" s="81"/>
      <c r="D92" s="89" t="s">
        <v>263</v>
      </c>
      <c r="E92" s="90">
        <f>E93+E100+E104+E106</f>
        <v>494825</v>
      </c>
      <c r="F92" s="90">
        <f>F93+F100+F104+F106</f>
        <v>92900</v>
      </c>
      <c r="G92" s="84">
        <f t="shared" si="1"/>
        <v>18.774314151467692</v>
      </c>
    </row>
    <row r="93" spans="1:7" ht="12.75">
      <c r="A93" s="103"/>
      <c r="B93" s="103">
        <v>80101</v>
      </c>
      <c r="C93" s="91"/>
      <c r="D93" s="104" t="s">
        <v>264</v>
      </c>
      <c r="E93" s="105">
        <v>380000</v>
      </c>
      <c r="F93" s="105">
        <v>21300</v>
      </c>
      <c r="G93" s="106">
        <f t="shared" si="1"/>
        <v>5.605263157894737</v>
      </c>
    </row>
    <row r="94" spans="1:7" s="432" customFormat="1" ht="12.75" hidden="1">
      <c r="A94" s="427"/>
      <c r="B94" s="427"/>
      <c r="C94" s="428" t="s">
        <v>205</v>
      </c>
      <c r="D94" s="429" t="s">
        <v>215</v>
      </c>
      <c r="E94" s="133">
        <v>90000</v>
      </c>
      <c r="F94" s="430">
        <f>1!E83</f>
        <v>10000</v>
      </c>
      <c r="G94" s="431">
        <f t="shared" si="1"/>
        <v>11.11111111111111</v>
      </c>
    </row>
    <row r="95" spans="1:8" s="432" customFormat="1" ht="51" hidden="1">
      <c r="A95" s="427"/>
      <c r="B95" s="427"/>
      <c r="C95" s="428" t="s">
        <v>352</v>
      </c>
      <c r="D95" s="429" t="str">
        <f>'[1]1'!D77</f>
        <v>Dotacje otrzymane z funduszy celowych na finansowanie lub dofinansowanie kosztów realizacji inwestycji i zakupów inwestycyjnych jednostek sektora finansów publicznych</v>
      </c>
      <c r="E95" s="133">
        <v>300000</v>
      </c>
      <c r="F95" s="430">
        <v>0</v>
      </c>
      <c r="G95" s="431">
        <f t="shared" si="1"/>
        <v>0</v>
      </c>
      <c r="H95" s="432" t="s">
        <v>353</v>
      </c>
    </row>
    <row r="96" spans="1:7" s="432" customFormat="1" ht="76.5" hidden="1">
      <c r="A96" s="427"/>
      <c r="B96" s="427"/>
      <c r="C96" s="428" t="s">
        <v>179</v>
      </c>
      <c r="D96" s="429" t="str">
        <f>D29</f>
        <v>Dochody z najmu i dzierżawy składników majątkowych Skarbu Państwa, jednostek samorządu terytorialnego, lub innych jednostek zaliczanych do sektora finansów publicznych oraz innych umów o podobnym charakterze</v>
      </c>
      <c r="E96" s="133">
        <v>19000</v>
      </c>
      <c r="F96" s="430">
        <f>1!E82</f>
        <v>10500</v>
      </c>
      <c r="G96" s="431">
        <f t="shared" si="1"/>
        <v>55.26315789473684</v>
      </c>
    </row>
    <row r="97" spans="1:7" s="432" customFormat="1" ht="12.75" hidden="1">
      <c r="A97" s="427"/>
      <c r="B97" s="427"/>
      <c r="C97" s="428"/>
      <c r="D97" s="429" t="s">
        <v>718</v>
      </c>
      <c r="E97" s="133">
        <v>235306</v>
      </c>
      <c r="F97" s="430">
        <v>348308</v>
      </c>
      <c r="G97" s="431"/>
    </row>
    <row r="98" spans="1:7" s="432" customFormat="1" ht="12.75" hidden="1">
      <c r="A98" s="427"/>
      <c r="B98" s="427"/>
      <c r="C98" s="428" t="s">
        <v>348</v>
      </c>
      <c r="D98" s="429" t="str">
        <f>D87</f>
        <v>Wpływy z róznych dochodów</v>
      </c>
      <c r="E98" s="133">
        <v>800</v>
      </c>
      <c r="F98" s="430">
        <v>0</v>
      </c>
      <c r="G98" s="431">
        <f t="shared" si="1"/>
        <v>0</v>
      </c>
    </row>
    <row r="99" spans="1:7" s="432" customFormat="1" ht="38.25" hidden="1">
      <c r="A99" s="427"/>
      <c r="B99" s="427"/>
      <c r="C99" s="428" t="s">
        <v>303</v>
      </c>
      <c r="D99" s="429" t="str">
        <f>D124</f>
        <v>Dotacje celowe otrzymane z budżetu państwa na realizację własnych zadań bieżących gmin (związków gmin)</v>
      </c>
      <c r="E99" s="133">
        <v>16340</v>
      </c>
      <c r="F99" s="430">
        <v>0</v>
      </c>
      <c r="G99" s="431">
        <f t="shared" si="1"/>
        <v>0</v>
      </c>
    </row>
    <row r="100" spans="1:7" ht="14.25" customHeight="1">
      <c r="A100" s="103"/>
      <c r="B100" s="103">
        <v>80104</v>
      </c>
      <c r="C100" s="91"/>
      <c r="D100" s="104" t="s">
        <v>266</v>
      </c>
      <c r="E100" s="105">
        <v>24000</v>
      </c>
      <c r="F100" s="105">
        <v>27600</v>
      </c>
      <c r="G100" s="106">
        <f t="shared" si="1"/>
        <v>115</v>
      </c>
    </row>
    <row r="101" spans="1:7" s="432" customFormat="1" ht="12.75" hidden="1">
      <c r="A101" s="427"/>
      <c r="B101" s="427"/>
      <c r="C101" s="428" t="s">
        <v>205</v>
      </c>
      <c r="D101" s="429" t="s">
        <v>215</v>
      </c>
      <c r="E101" s="133">
        <v>28000</v>
      </c>
      <c r="F101" s="430">
        <f>1!E86</f>
        <v>27600</v>
      </c>
      <c r="G101" s="106">
        <f t="shared" si="1"/>
        <v>98.57142857142857</v>
      </c>
    </row>
    <row r="102" spans="1:7" ht="12.75" hidden="1">
      <c r="A102" s="103"/>
      <c r="B102" s="103">
        <v>80110</v>
      </c>
      <c r="C102" s="91"/>
      <c r="D102" s="104" t="s">
        <v>267</v>
      </c>
      <c r="E102" s="105">
        <f>E103</f>
        <v>0</v>
      </c>
      <c r="F102" s="105">
        <f>F103</f>
        <v>0</v>
      </c>
      <c r="G102" s="106" t="e">
        <f t="shared" si="1"/>
        <v>#DIV/0!</v>
      </c>
    </row>
    <row r="103" spans="1:7" s="432" customFormat="1" ht="12.75" hidden="1">
      <c r="A103" s="433"/>
      <c r="B103" s="433"/>
      <c r="C103" s="434" t="s">
        <v>205</v>
      </c>
      <c r="D103" s="435" t="s">
        <v>206</v>
      </c>
      <c r="E103" s="111">
        <v>0</v>
      </c>
      <c r="F103" s="436">
        <v>0</v>
      </c>
      <c r="G103" s="106" t="e">
        <f t="shared" si="1"/>
        <v>#DIV/0!</v>
      </c>
    </row>
    <row r="104" spans="1:7" s="456" customFormat="1" ht="12.75">
      <c r="A104" s="108"/>
      <c r="B104" s="136">
        <v>80148</v>
      </c>
      <c r="C104" s="85"/>
      <c r="D104" s="140" t="s">
        <v>738</v>
      </c>
      <c r="E104" s="138">
        <v>72000</v>
      </c>
      <c r="F104" s="138">
        <v>32000</v>
      </c>
      <c r="G104" s="106">
        <f t="shared" si="1"/>
        <v>44.44444444444444</v>
      </c>
    </row>
    <row r="105" spans="1:7" s="432" customFormat="1" ht="12.75" hidden="1">
      <c r="A105" s="433"/>
      <c r="B105" s="433"/>
      <c r="C105" s="434"/>
      <c r="D105" s="435"/>
      <c r="E105" s="111"/>
      <c r="F105" s="436"/>
      <c r="G105" s="437"/>
    </row>
    <row r="106" spans="1:7" s="100" customFormat="1" ht="13.5" thickBot="1">
      <c r="A106" s="120"/>
      <c r="B106" s="119">
        <v>80195</v>
      </c>
      <c r="C106" s="142"/>
      <c r="D106" s="143" t="s">
        <v>354</v>
      </c>
      <c r="E106" s="144">
        <v>18825</v>
      </c>
      <c r="F106" s="144">
        <v>12000</v>
      </c>
      <c r="G106" s="145">
        <f t="shared" si="1"/>
        <v>63.745019920318725</v>
      </c>
    </row>
    <row r="107" spans="1:7" s="432" customFormat="1" ht="39" hidden="1" thickBot="1">
      <c r="A107" s="433"/>
      <c r="B107" s="433"/>
      <c r="C107" s="434" t="s">
        <v>303</v>
      </c>
      <c r="D107" s="435" t="str">
        <f>D99</f>
        <v>Dotacje celowe otrzymane z budżetu państwa na realizację własnych zadań bieżących gmin (związków gmin)</v>
      </c>
      <c r="E107" s="111">
        <f>9000+1210+18000+16000</f>
        <v>44210</v>
      </c>
      <c r="F107" s="436">
        <v>12000</v>
      </c>
      <c r="G107" s="437">
        <f t="shared" si="1"/>
        <v>27.143180275955665</v>
      </c>
    </row>
    <row r="108" spans="1:7" s="102" customFormat="1" ht="13.5" hidden="1" thickBot="1">
      <c r="A108" s="101">
        <v>851</v>
      </c>
      <c r="B108" s="101"/>
      <c r="C108" s="81"/>
      <c r="D108" s="89" t="s">
        <v>298</v>
      </c>
      <c r="E108" s="90">
        <f>E109</f>
        <v>0</v>
      </c>
      <c r="F108" s="90">
        <f>F109</f>
        <v>0</v>
      </c>
      <c r="G108" s="84" t="e">
        <f t="shared" si="1"/>
        <v>#DIV/0!</v>
      </c>
    </row>
    <row r="109" spans="1:7" ht="13.5" hidden="1" thickBot="1">
      <c r="A109" s="103"/>
      <c r="B109" s="103">
        <v>85195</v>
      </c>
      <c r="C109" s="91"/>
      <c r="D109" s="104" t="s">
        <v>178</v>
      </c>
      <c r="E109" s="105">
        <v>0</v>
      </c>
      <c r="F109" s="105">
        <f>F110</f>
        <v>0</v>
      </c>
      <c r="G109" s="106" t="e">
        <f t="shared" si="1"/>
        <v>#DIV/0!</v>
      </c>
    </row>
    <row r="110" spans="1:7" s="432" customFormat="1" ht="51.75" hidden="1" thickBot="1">
      <c r="A110" s="433"/>
      <c r="B110" s="433"/>
      <c r="C110" s="434" t="s">
        <v>209</v>
      </c>
      <c r="D110" s="435" t="s">
        <v>210</v>
      </c>
      <c r="E110" s="111">
        <v>1000</v>
      </c>
      <c r="F110" s="436">
        <v>0</v>
      </c>
      <c r="G110" s="437">
        <f t="shared" si="1"/>
        <v>0</v>
      </c>
    </row>
    <row r="111" spans="1:7" s="102" customFormat="1" ht="13.5" thickBot="1">
      <c r="A111" s="101">
        <v>852</v>
      </c>
      <c r="B111" s="101"/>
      <c r="C111" s="81"/>
      <c r="D111" s="89" t="s">
        <v>299</v>
      </c>
      <c r="E111" s="90">
        <f>E112+E114+E116+E119+E123</f>
        <v>1812000</v>
      </c>
      <c r="F111" s="90">
        <f>F112+F114+F116+F119+F123</f>
        <v>1879000</v>
      </c>
      <c r="G111" s="84">
        <f t="shared" si="1"/>
        <v>103.69757174392936</v>
      </c>
    </row>
    <row r="112" spans="1:7" s="73" customFormat="1" ht="38.25">
      <c r="A112" s="114"/>
      <c r="B112" s="114">
        <v>85212</v>
      </c>
      <c r="C112" s="115"/>
      <c r="D112" s="141" t="s">
        <v>300</v>
      </c>
      <c r="E112" s="117">
        <v>1360000</v>
      </c>
      <c r="F112" s="117">
        <v>1492000</v>
      </c>
      <c r="G112" s="118">
        <f t="shared" si="1"/>
        <v>109.70588235294117</v>
      </c>
    </row>
    <row r="113" spans="1:7" s="432" customFormat="1" ht="51" hidden="1">
      <c r="A113" s="427"/>
      <c r="B113" s="427"/>
      <c r="C113" s="428" t="s">
        <v>209</v>
      </c>
      <c r="D113" s="429" t="s">
        <v>210</v>
      </c>
      <c r="E113" s="133">
        <v>1400000</v>
      </c>
      <c r="F113" s="430">
        <f>1!E96</f>
        <v>1492000</v>
      </c>
      <c r="G113" s="431">
        <f t="shared" si="1"/>
        <v>106.57142857142857</v>
      </c>
    </row>
    <row r="114" spans="1:7" ht="51" customHeight="1">
      <c r="A114" s="103"/>
      <c r="B114" s="103">
        <v>85213</v>
      </c>
      <c r="C114" s="91"/>
      <c r="D114" s="104" t="s">
        <v>301</v>
      </c>
      <c r="E114" s="105">
        <v>7000</v>
      </c>
      <c r="F114" s="105">
        <v>9000</v>
      </c>
      <c r="G114" s="106">
        <f t="shared" si="1"/>
        <v>128.57142857142858</v>
      </c>
    </row>
    <row r="115" spans="1:7" s="432" customFormat="1" ht="51" hidden="1">
      <c r="A115" s="427"/>
      <c r="B115" s="427"/>
      <c r="C115" s="428" t="s">
        <v>209</v>
      </c>
      <c r="D115" s="429" t="s">
        <v>210</v>
      </c>
      <c r="E115" s="133">
        <v>5980</v>
      </c>
      <c r="F115" s="430">
        <f>1!E99</f>
        <v>9000</v>
      </c>
      <c r="G115" s="431">
        <f t="shared" si="1"/>
        <v>150.50167224080266</v>
      </c>
    </row>
    <row r="116" spans="1:7" ht="25.5">
      <c r="A116" s="103"/>
      <c r="B116" s="103">
        <v>85214</v>
      </c>
      <c r="C116" s="91"/>
      <c r="D116" s="104" t="s">
        <v>302</v>
      </c>
      <c r="E116" s="105">
        <v>240000</v>
      </c>
      <c r="F116" s="105">
        <v>206000</v>
      </c>
      <c r="G116" s="106">
        <f t="shared" si="1"/>
        <v>85.83333333333333</v>
      </c>
    </row>
    <row r="117" spans="1:7" s="432" customFormat="1" ht="51" hidden="1">
      <c r="A117" s="427"/>
      <c r="B117" s="427"/>
      <c r="C117" s="428" t="s">
        <v>209</v>
      </c>
      <c r="D117" s="429" t="s">
        <v>210</v>
      </c>
      <c r="E117" s="133">
        <v>65085</v>
      </c>
      <c r="F117" s="430">
        <f>1!F101</f>
        <v>85000</v>
      </c>
      <c r="G117" s="431">
        <f t="shared" si="1"/>
        <v>130.5984481831451</v>
      </c>
    </row>
    <row r="118" spans="1:7" s="432" customFormat="1" ht="38.25" hidden="1">
      <c r="A118" s="427"/>
      <c r="B118" s="427"/>
      <c r="C118" s="428" t="s">
        <v>303</v>
      </c>
      <c r="D118" s="429" t="s">
        <v>304</v>
      </c>
      <c r="E118" s="133">
        <v>100000</v>
      </c>
      <c r="F118" s="430">
        <f>1!F102</f>
        <v>121000</v>
      </c>
      <c r="G118" s="431">
        <f t="shared" si="1"/>
        <v>121</v>
      </c>
    </row>
    <row r="119" spans="1:7" ht="12.75">
      <c r="A119" s="103"/>
      <c r="B119" s="146">
        <v>85219</v>
      </c>
      <c r="C119" s="91"/>
      <c r="D119" s="104" t="s">
        <v>305</v>
      </c>
      <c r="E119" s="105">
        <v>112000</v>
      </c>
      <c r="F119" s="105">
        <v>110000</v>
      </c>
      <c r="G119" s="106">
        <f t="shared" si="1"/>
        <v>98.21428571428571</v>
      </c>
    </row>
    <row r="120" spans="1:7" s="432" customFormat="1" ht="12.75" hidden="1">
      <c r="A120" s="442"/>
      <c r="B120" s="438"/>
      <c r="C120" s="443" t="s">
        <v>205</v>
      </c>
      <c r="D120" s="444" t="s">
        <v>206</v>
      </c>
      <c r="E120" s="107">
        <v>3500</v>
      </c>
      <c r="F120" s="445">
        <f>1!F104</f>
        <v>4000</v>
      </c>
      <c r="G120" s="446">
        <f t="shared" si="1"/>
        <v>114.28571428571429</v>
      </c>
    </row>
    <row r="121" spans="1:7" s="432" customFormat="1" ht="38.25" hidden="1">
      <c r="A121" s="438"/>
      <c r="B121" s="438"/>
      <c r="C121" s="439" t="s">
        <v>303</v>
      </c>
      <c r="D121" s="429" t="s">
        <v>304</v>
      </c>
      <c r="E121" s="98">
        <v>109500</v>
      </c>
      <c r="F121" s="440">
        <f>1!F105</f>
        <v>106000</v>
      </c>
      <c r="G121" s="441">
        <f t="shared" si="1"/>
        <v>96.80365296803653</v>
      </c>
    </row>
    <row r="122" spans="1:7" s="100" customFormat="1" ht="12.75" hidden="1">
      <c r="A122" s="147"/>
      <c r="B122" s="147">
        <v>85278</v>
      </c>
      <c r="C122" s="148"/>
      <c r="D122" s="149" t="s">
        <v>660</v>
      </c>
      <c r="E122" s="150">
        <v>0</v>
      </c>
      <c r="F122" s="150">
        <v>0</v>
      </c>
      <c r="G122" s="151" t="e">
        <f>F122*100/E122</f>
        <v>#DIV/0!</v>
      </c>
    </row>
    <row r="123" spans="1:7" ht="13.5" thickBot="1">
      <c r="A123" s="147"/>
      <c r="B123" s="147">
        <v>85295</v>
      </c>
      <c r="C123" s="148"/>
      <c r="D123" s="149" t="s">
        <v>178</v>
      </c>
      <c r="E123" s="150">
        <v>93000</v>
      </c>
      <c r="F123" s="150">
        <v>62000</v>
      </c>
      <c r="G123" s="151">
        <f t="shared" si="1"/>
        <v>66.66666666666667</v>
      </c>
    </row>
    <row r="124" spans="1:7" s="432" customFormat="1" ht="39" hidden="1" thickBot="1">
      <c r="A124" s="438"/>
      <c r="B124" s="438"/>
      <c r="C124" s="439" t="s">
        <v>303</v>
      </c>
      <c r="D124" s="435" t="s">
        <v>304</v>
      </c>
      <c r="E124" s="98">
        <v>108000</v>
      </c>
      <c r="F124" s="440">
        <f>1!F107</f>
        <v>62000</v>
      </c>
      <c r="G124" s="441">
        <f t="shared" si="1"/>
        <v>57.407407407407405</v>
      </c>
    </row>
    <row r="125" spans="1:7" s="102" customFormat="1" ht="13.5" thickBot="1">
      <c r="A125" s="101">
        <v>854</v>
      </c>
      <c r="B125" s="101"/>
      <c r="C125" s="81"/>
      <c r="D125" s="89" t="s">
        <v>355</v>
      </c>
      <c r="E125" s="90">
        <f>E126</f>
        <v>73450</v>
      </c>
      <c r="F125" s="90">
        <f>F126</f>
        <v>0</v>
      </c>
      <c r="G125" s="84">
        <f>F125*100/E125</f>
        <v>0</v>
      </c>
    </row>
    <row r="126" spans="1:7" s="73" customFormat="1" ht="13.5" thickBot="1">
      <c r="A126" s="136"/>
      <c r="B126" s="136">
        <v>85415</v>
      </c>
      <c r="C126" s="85"/>
      <c r="D126" s="140" t="s">
        <v>356</v>
      </c>
      <c r="E126" s="138">
        <v>73450</v>
      </c>
      <c r="F126" s="138">
        <v>0</v>
      </c>
      <c r="G126" s="139">
        <f t="shared" si="1"/>
        <v>0</v>
      </c>
    </row>
    <row r="127" spans="1:7" s="452" customFormat="1" ht="39" hidden="1" thickBot="1">
      <c r="A127" s="447"/>
      <c r="B127" s="447"/>
      <c r="C127" s="448" t="s">
        <v>303</v>
      </c>
      <c r="D127" s="449" t="str">
        <f>D124</f>
        <v>Dotacje celowe otrzymane z budżetu państwa na realizację własnych zadań bieżących gmin (związków gmin)</v>
      </c>
      <c r="E127" s="127">
        <v>79172</v>
      </c>
      <c r="F127" s="450">
        <f>F126</f>
        <v>0</v>
      </c>
      <c r="G127" s="451">
        <f t="shared" si="1"/>
        <v>0</v>
      </c>
    </row>
    <row r="128" spans="1:7" s="102" customFormat="1" ht="26.25" thickBot="1">
      <c r="A128" s="101">
        <v>900</v>
      </c>
      <c r="B128" s="101"/>
      <c r="C128" s="81"/>
      <c r="D128" s="89" t="s">
        <v>306</v>
      </c>
      <c r="E128" s="90">
        <f>SUM(E129:E131)</f>
        <v>1460</v>
      </c>
      <c r="F128" s="90">
        <f>SUM(F129:F131)</f>
        <v>94600</v>
      </c>
      <c r="G128" s="84">
        <f t="shared" si="1"/>
        <v>6479.45205479452</v>
      </c>
    </row>
    <row r="129" spans="1:7" s="938" customFormat="1" ht="12.75" hidden="1">
      <c r="A129" s="934"/>
      <c r="B129" s="934">
        <v>90001</v>
      </c>
      <c r="C129" s="935"/>
      <c r="D129" s="936" t="s">
        <v>629</v>
      </c>
      <c r="E129" s="458">
        <v>0</v>
      </c>
      <c r="F129" s="734">
        <v>0</v>
      </c>
      <c r="G129" s="937" t="s">
        <v>810</v>
      </c>
    </row>
    <row r="130" spans="1:7" s="102" customFormat="1" ht="12.75">
      <c r="A130" s="461"/>
      <c r="B130" s="461">
        <v>90003</v>
      </c>
      <c r="C130" s="462"/>
      <c r="D130" s="471" t="s">
        <v>357</v>
      </c>
      <c r="E130" s="463">
        <v>0</v>
      </c>
      <c r="F130" s="463">
        <v>93600</v>
      </c>
      <c r="G130" s="465" t="s">
        <v>810</v>
      </c>
    </row>
    <row r="131" spans="1:7" ht="26.25" thickBot="1">
      <c r="A131" s="103"/>
      <c r="B131" s="103">
        <v>90020</v>
      </c>
      <c r="C131" s="460"/>
      <c r="D131" s="104" t="s">
        <v>307</v>
      </c>
      <c r="E131" s="105">
        <v>1460</v>
      </c>
      <c r="F131" s="105">
        <v>1000</v>
      </c>
      <c r="G131" s="106">
        <f t="shared" si="1"/>
        <v>68.4931506849315</v>
      </c>
    </row>
    <row r="132" spans="1:7" s="455" customFormat="1" ht="13.5" hidden="1" thickBot="1">
      <c r="A132" s="453"/>
      <c r="B132" s="453"/>
      <c r="C132" s="454" t="s">
        <v>308</v>
      </c>
      <c r="D132" s="444" t="s">
        <v>309</v>
      </c>
      <c r="E132" s="107">
        <v>800</v>
      </c>
      <c r="F132" s="445">
        <v>800</v>
      </c>
      <c r="G132" s="446">
        <f t="shared" si="1"/>
        <v>100</v>
      </c>
    </row>
    <row r="133" spans="1:7" ht="12.75" hidden="1">
      <c r="A133" s="146"/>
      <c r="B133" s="146">
        <v>90003</v>
      </c>
      <c r="C133" s="153"/>
      <c r="D133" s="143" t="s">
        <v>357</v>
      </c>
      <c r="E133" s="154">
        <v>0</v>
      </c>
      <c r="F133" s="154">
        <v>0</v>
      </c>
      <c r="G133" s="123" t="e">
        <f t="shared" si="1"/>
        <v>#DIV/0!</v>
      </c>
    </row>
    <row r="134" spans="1:7" ht="51.75" hidden="1" thickBot="1">
      <c r="A134" s="155"/>
      <c r="B134" s="155"/>
      <c r="C134" s="156" t="s">
        <v>265</v>
      </c>
      <c r="D134" s="152" t="str">
        <f>D95</f>
        <v>Dotacje otrzymane z funduszy celowych na finansowanie lub dofinansowanie kosztów realizacji inwestycji i zakupów inwestycyjnych jednostek sektora finansów publicznych</v>
      </c>
      <c r="E134" s="157">
        <v>0</v>
      </c>
      <c r="F134" s="157">
        <v>0</v>
      </c>
      <c r="G134" s="128" t="e">
        <f t="shared" si="1"/>
        <v>#DIV/0!</v>
      </c>
    </row>
    <row r="135" spans="1:7" ht="26.25" thickBot="1">
      <c r="A135" s="101">
        <v>921</v>
      </c>
      <c r="B135" s="101"/>
      <c r="C135" s="81"/>
      <c r="D135" s="472" t="s">
        <v>637</v>
      </c>
      <c r="E135" s="90">
        <f>E136</f>
        <v>90110</v>
      </c>
      <c r="F135" s="90">
        <f>F136</f>
        <v>0</v>
      </c>
      <c r="G135" s="84">
        <f>F135*100/E135</f>
        <v>0</v>
      </c>
    </row>
    <row r="136" spans="1:7" ht="15" customHeight="1" thickBot="1">
      <c r="A136" s="158"/>
      <c r="B136" s="158">
        <v>92109</v>
      </c>
      <c r="C136" s="85"/>
      <c r="D136" s="420" t="s">
        <v>639</v>
      </c>
      <c r="E136" s="138">
        <v>90110</v>
      </c>
      <c r="F136" s="138">
        <v>0</v>
      </c>
      <c r="G136" s="139">
        <f>F136*100/E136</f>
        <v>0</v>
      </c>
    </row>
    <row r="137" spans="1:7" ht="13.5" hidden="1" thickBot="1">
      <c r="A137" s="101">
        <v>926</v>
      </c>
      <c r="B137" s="101"/>
      <c r="C137" s="81"/>
      <c r="D137" s="89" t="s">
        <v>310</v>
      </c>
      <c r="E137" s="90">
        <f>E138+E140</f>
        <v>0</v>
      </c>
      <c r="F137" s="90">
        <f>F138+F140</f>
        <v>0</v>
      </c>
      <c r="G137" s="480" t="s">
        <v>810</v>
      </c>
    </row>
    <row r="138" spans="1:7" ht="12.75" hidden="1">
      <c r="A138" s="470"/>
      <c r="B138" s="470">
        <v>92601</v>
      </c>
      <c r="C138" s="422"/>
      <c r="D138" s="423" t="s">
        <v>763</v>
      </c>
      <c r="E138" s="458">
        <v>0</v>
      </c>
      <c r="F138" s="458">
        <v>0</v>
      </c>
      <c r="G138" s="425" t="s">
        <v>810</v>
      </c>
    </row>
    <row r="139" spans="1:7" ht="51.75" hidden="1" thickBot="1">
      <c r="A139" s="466"/>
      <c r="B139" s="466"/>
      <c r="C139" s="467" t="s">
        <v>311</v>
      </c>
      <c r="D139" s="468" t="s">
        <v>371</v>
      </c>
      <c r="E139" s="469">
        <v>14632</v>
      </c>
      <c r="F139" s="469">
        <v>34388</v>
      </c>
      <c r="G139" s="481">
        <f>F139*100/E139</f>
        <v>235.0191361399672</v>
      </c>
    </row>
    <row r="140" spans="1:7" ht="13.5" hidden="1" thickBot="1">
      <c r="A140" s="158"/>
      <c r="B140" s="158">
        <v>92695</v>
      </c>
      <c r="C140" s="85"/>
      <c r="D140" s="420" t="s">
        <v>178</v>
      </c>
      <c r="E140" s="138">
        <v>0</v>
      </c>
      <c r="F140" s="138">
        <v>0</v>
      </c>
      <c r="G140" s="482" t="s">
        <v>810</v>
      </c>
    </row>
    <row r="141" spans="1:7" s="102" customFormat="1" ht="16.5" thickBot="1">
      <c r="A141" s="1136" t="s">
        <v>372</v>
      </c>
      <c r="B141" s="1136"/>
      <c r="C141" s="1136"/>
      <c r="D141" s="1136"/>
      <c r="E141" s="735">
        <f>E137+E135+E128+E125+E111+E108+E92+E80+E49+E47+E42+E34+E31+E26+E20+E15+E12+E9</f>
        <v>11024724</v>
      </c>
      <c r="F141" s="591">
        <f>F137+F135+F128+F125+F111+F108+F92+F80+F49+F47+F42+F34+F31+F26+F20+F15+F12+F9</f>
        <v>10726407</v>
      </c>
      <c r="G141" s="592">
        <f t="shared" si="1"/>
        <v>97.29410913143948</v>
      </c>
    </row>
    <row r="142" spans="2:7" ht="12.75">
      <c r="B142" s="2"/>
      <c r="C142" s="2"/>
      <c r="F142" s="2"/>
      <c r="G142" s="160"/>
    </row>
    <row r="143" spans="2:7" ht="12.75">
      <c r="B143" s="2"/>
      <c r="C143" s="2"/>
      <c r="F143" s="2"/>
      <c r="G143" s="160"/>
    </row>
  </sheetData>
  <mergeCells count="8">
    <mergeCell ref="E6:E7"/>
    <mergeCell ref="F6:F7"/>
    <mergeCell ref="G6:G7"/>
    <mergeCell ref="A141:D141"/>
    <mergeCell ref="A6:A7"/>
    <mergeCell ref="B6:B7"/>
    <mergeCell ref="C6:C7"/>
    <mergeCell ref="D6:D7"/>
  </mergeCells>
  <printOptions/>
  <pageMargins left="0.56" right="0.24" top="0.88" bottom="0.7" header="0.41" footer="0.34"/>
  <pageSetup horizontalDpi="600" verticalDpi="600" orientation="portrait" paperSize="9" r:id="rId1"/>
  <headerFooter alignWithMargins="0">
    <oddFooter>&amp;CStrona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9">
    <tabColor indexed="42"/>
  </sheetPr>
  <dimension ref="A1:I34"/>
  <sheetViews>
    <sheetView showGridLines="0" workbookViewId="0" topLeftCell="A1">
      <selection activeCell="A3" sqref="A3"/>
    </sheetView>
  </sheetViews>
  <sheetFormatPr defaultColWidth="9.00390625" defaultRowHeight="12.75"/>
  <cols>
    <col min="1" max="1" width="5.25390625" style="2" bestFit="1" customWidth="1"/>
    <col min="2" max="2" width="5.25390625" style="2" customWidth="1"/>
    <col min="3" max="3" width="47.375" style="2" customWidth="1"/>
    <col min="4" max="4" width="13.625" style="278" customWidth="1"/>
    <col min="5" max="5" width="22.875" style="2" customWidth="1"/>
    <col min="6" max="16384" width="9.125" style="2" customWidth="1"/>
  </cols>
  <sheetData>
    <row r="1" ht="61.5" customHeight="1">
      <c r="E1" s="37" t="s">
        <v>861</v>
      </c>
    </row>
    <row r="2" spans="1:9" ht="48" customHeight="1">
      <c r="A2" s="1425" t="s">
        <v>909</v>
      </c>
      <c r="B2" s="1426"/>
      <c r="C2" s="1188"/>
      <c r="D2" s="1188"/>
      <c r="E2" s="1188"/>
      <c r="F2" s="36"/>
      <c r="G2" s="6"/>
      <c r="H2" s="6"/>
      <c r="I2" s="6"/>
    </row>
    <row r="3" ht="9.75" customHeight="1" thickBot="1">
      <c r="E3" s="38" t="s">
        <v>92</v>
      </c>
    </row>
    <row r="4" spans="1:9" ht="24.75" customHeight="1">
      <c r="A4" s="1406" t="s">
        <v>112</v>
      </c>
      <c r="B4" s="1427" t="s">
        <v>54</v>
      </c>
      <c r="C4" s="1432" t="s">
        <v>783</v>
      </c>
      <c r="D4" s="1433"/>
      <c r="E4" s="1428" t="s">
        <v>911</v>
      </c>
      <c r="F4" s="7"/>
      <c r="G4" s="7"/>
      <c r="H4" s="8"/>
      <c r="I4" s="8"/>
    </row>
    <row r="5" spans="1:9" ht="64.5" customHeight="1" thickBot="1">
      <c r="A5" s="1408"/>
      <c r="B5" s="1411"/>
      <c r="C5" s="1430" t="s">
        <v>50</v>
      </c>
      <c r="D5" s="1431"/>
      <c r="E5" s="1429"/>
      <c r="F5" s="7"/>
      <c r="G5" s="7"/>
      <c r="H5" s="8"/>
      <c r="I5" s="8"/>
    </row>
    <row r="6" spans="1:9" s="545" customFormat="1" ht="22.5" customHeight="1" thickBot="1">
      <c r="A6" s="408" t="s">
        <v>61</v>
      </c>
      <c r="B6" s="546" t="s">
        <v>101</v>
      </c>
      <c r="C6" s="1434" t="s">
        <v>114</v>
      </c>
      <c r="D6" s="1435"/>
      <c r="E6" s="547">
        <v>136500</v>
      </c>
      <c r="F6" s="543"/>
      <c r="G6" s="543"/>
      <c r="H6" s="544"/>
      <c r="I6" s="544"/>
    </row>
    <row r="7" spans="1:9" ht="19.5" customHeight="1" thickBot="1">
      <c r="A7" s="282" t="s">
        <v>67</v>
      </c>
      <c r="B7" s="283" t="s">
        <v>101</v>
      </c>
      <c r="C7" s="1436" t="s">
        <v>60</v>
      </c>
      <c r="D7" s="1437"/>
      <c r="E7" s="284">
        <f>E8</f>
        <v>10500</v>
      </c>
      <c r="F7" s="7"/>
      <c r="G7" s="7"/>
      <c r="H7" s="8"/>
      <c r="I7" s="8"/>
    </row>
    <row r="8" spans="1:9" s="545" customFormat="1" ht="19.5" customHeight="1" thickBot="1">
      <c r="A8" s="540" t="s">
        <v>63</v>
      </c>
      <c r="B8" s="541" t="s">
        <v>785</v>
      </c>
      <c r="C8" s="1438" t="s">
        <v>784</v>
      </c>
      <c r="D8" s="1439"/>
      <c r="E8" s="542">
        <v>10500</v>
      </c>
      <c r="F8" s="543"/>
      <c r="G8" s="543"/>
      <c r="H8" s="544"/>
      <c r="I8" s="544"/>
    </row>
    <row r="9" spans="1:9" ht="19.5" customHeight="1" thickBot="1">
      <c r="A9" s="282" t="s">
        <v>68</v>
      </c>
      <c r="B9" s="283" t="s">
        <v>101</v>
      </c>
      <c r="C9" s="1436" t="s">
        <v>59</v>
      </c>
      <c r="D9" s="1437"/>
      <c r="E9" s="284">
        <f>E10+E26</f>
        <v>10560</v>
      </c>
      <c r="F9" s="7"/>
      <c r="G9" s="7"/>
      <c r="H9" s="8"/>
      <c r="I9" s="8"/>
    </row>
    <row r="10" spans="1:9" ht="19.5" customHeight="1">
      <c r="A10" s="306" t="s">
        <v>63</v>
      </c>
      <c r="B10" s="307" t="s">
        <v>101</v>
      </c>
      <c r="C10" s="1440" t="s">
        <v>88</v>
      </c>
      <c r="D10" s="1441"/>
      <c r="E10" s="308">
        <f>E11+E15</f>
        <v>10560</v>
      </c>
      <c r="F10" s="7"/>
      <c r="G10" s="7"/>
      <c r="H10" s="8"/>
      <c r="I10" s="8"/>
    </row>
    <row r="11" spans="1:9" ht="15">
      <c r="A11" s="280"/>
      <c r="B11" s="11">
        <v>4210</v>
      </c>
      <c r="C11" s="1442" t="s">
        <v>407</v>
      </c>
      <c r="D11" s="1443"/>
      <c r="E11" s="281">
        <f>SUM(D12:D14)</f>
        <v>3500</v>
      </c>
      <c r="F11" s="7"/>
      <c r="G11" s="7"/>
      <c r="H11" s="8"/>
      <c r="I11" s="8"/>
    </row>
    <row r="12" spans="1:9" ht="12.75" customHeight="1">
      <c r="A12" s="291"/>
      <c r="B12" s="292"/>
      <c r="C12" s="298" t="s">
        <v>787</v>
      </c>
      <c r="D12" s="299">
        <v>3000</v>
      </c>
      <c r="E12" s="297"/>
      <c r="F12" s="7"/>
      <c r="G12" s="7"/>
      <c r="H12" s="8"/>
      <c r="I12" s="8"/>
    </row>
    <row r="13" spans="1:9" s="1081" customFormat="1" ht="12.75" customHeight="1" hidden="1">
      <c r="A13" s="1074"/>
      <c r="B13" s="1075"/>
      <c r="C13" s="1076" t="s">
        <v>800</v>
      </c>
      <c r="D13" s="1077">
        <v>0</v>
      </c>
      <c r="E13" s="1078"/>
      <c r="F13" s="1079"/>
      <c r="G13" s="1079"/>
      <c r="H13" s="1080"/>
      <c r="I13" s="1080"/>
    </row>
    <row r="14" spans="1:9" ht="12.75" customHeight="1">
      <c r="A14" s="285"/>
      <c r="B14" s="286"/>
      <c r="C14" s="302" t="s">
        <v>801</v>
      </c>
      <c r="D14" s="303">
        <v>500</v>
      </c>
      <c r="E14" s="287"/>
      <c r="F14" s="7"/>
      <c r="G14" s="7"/>
      <c r="H14" s="8"/>
      <c r="I14" s="8"/>
    </row>
    <row r="15" spans="1:9" ht="25.5" customHeight="1">
      <c r="A15" s="280"/>
      <c r="B15" s="11">
        <v>4300</v>
      </c>
      <c r="C15" s="304" t="s">
        <v>390</v>
      </c>
      <c r="D15" s="305"/>
      <c r="E15" s="281">
        <f>SUM(D16:D25)</f>
        <v>7060</v>
      </c>
      <c r="F15" s="7"/>
      <c r="G15" s="7"/>
      <c r="H15" s="8"/>
      <c r="I15" s="8"/>
    </row>
    <row r="16" spans="1:9" ht="15">
      <c r="A16" s="291"/>
      <c r="B16" s="292"/>
      <c r="C16" s="298" t="s">
        <v>268</v>
      </c>
      <c r="D16" s="299">
        <v>5000</v>
      </c>
      <c r="E16" s="293"/>
      <c r="F16" s="7"/>
      <c r="G16" s="7"/>
      <c r="H16" s="8"/>
      <c r="I16" s="8"/>
    </row>
    <row r="17" spans="1:9" ht="15">
      <c r="A17" s="294"/>
      <c r="B17" s="295"/>
      <c r="C17" s="300" t="s">
        <v>786</v>
      </c>
      <c r="D17" s="301">
        <v>500</v>
      </c>
      <c r="E17" s="296"/>
      <c r="F17" s="7"/>
      <c r="G17" s="7"/>
      <c r="H17" s="8"/>
      <c r="I17" s="8"/>
    </row>
    <row r="18" spans="1:9" ht="15">
      <c r="A18" s="294"/>
      <c r="B18" s="295"/>
      <c r="C18" s="300" t="s">
        <v>788</v>
      </c>
      <c r="D18" s="301">
        <v>1000</v>
      </c>
      <c r="E18" s="296"/>
      <c r="F18" s="7"/>
      <c r="G18" s="7"/>
      <c r="H18" s="8"/>
      <c r="I18" s="8"/>
    </row>
    <row r="19" spans="1:9" s="326" customFormat="1" ht="24" hidden="1">
      <c r="A19" s="783"/>
      <c r="B19" s="784"/>
      <c r="C19" s="785" t="s">
        <v>795</v>
      </c>
      <c r="D19" s="786">
        <v>0</v>
      </c>
      <c r="E19" s="787"/>
      <c r="F19" s="788"/>
      <c r="G19" s="788"/>
      <c r="H19" s="789"/>
      <c r="I19" s="789"/>
    </row>
    <row r="20" spans="1:9" ht="15">
      <c r="A20" s="294"/>
      <c r="B20" s="295"/>
      <c r="C20" s="300" t="s">
        <v>796</v>
      </c>
      <c r="D20" s="301">
        <v>500</v>
      </c>
      <c r="E20" s="296"/>
      <c r="F20" s="7"/>
      <c r="G20" s="7"/>
      <c r="H20" s="8"/>
      <c r="I20" s="8"/>
    </row>
    <row r="21" spans="1:9" s="326" customFormat="1" ht="17.25" customHeight="1" hidden="1">
      <c r="A21" s="783"/>
      <c r="B21" s="784"/>
      <c r="C21" s="785" t="s">
        <v>797</v>
      </c>
      <c r="D21" s="786">
        <v>0</v>
      </c>
      <c r="E21" s="787"/>
      <c r="F21" s="788"/>
      <c r="G21" s="788"/>
      <c r="H21" s="789"/>
      <c r="I21" s="789"/>
    </row>
    <row r="22" spans="1:9" s="326" customFormat="1" ht="15" hidden="1">
      <c r="A22" s="783"/>
      <c r="B22" s="784"/>
      <c r="C22" s="785" t="s">
        <v>798</v>
      </c>
      <c r="D22" s="786">
        <v>0</v>
      </c>
      <c r="E22" s="787"/>
      <c r="F22" s="788"/>
      <c r="G22" s="788"/>
      <c r="H22" s="789"/>
      <c r="I22" s="789"/>
    </row>
    <row r="23" spans="1:9" ht="15">
      <c r="A23" s="294"/>
      <c r="B23" s="295"/>
      <c r="C23" s="300" t="s">
        <v>49</v>
      </c>
      <c r="D23" s="301">
        <v>60</v>
      </c>
      <c r="E23" s="296"/>
      <c r="F23" s="7"/>
      <c r="G23" s="7"/>
      <c r="H23" s="8"/>
      <c r="I23" s="8"/>
    </row>
    <row r="24" spans="1:9" s="326" customFormat="1" ht="24" hidden="1">
      <c r="A24" s="783"/>
      <c r="B24" s="784"/>
      <c r="C24" s="785" t="s">
        <v>48</v>
      </c>
      <c r="D24" s="786">
        <v>0</v>
      </c>
      <c r="E24" s="787"/>
      <c r="F24" s="788"/>
      <c r="G24" s="788"/>
      <c r="H24" s="789"/>
      <c r="I24" s="789"/>
    </row>
    <row r="25" spans="1:9" s="326" customFormat="1" ht="15" hidden="1">
      <c r="A25" s="790"/>
      <c r="B25" s="791"/>
      <c r="C25" s="792" t="s">
        <v>799</v>
      </c>
      <c r="D25" s="793">
        <v>0</v>
      </c>
      <c r="E25" s="794"/>
      <c r="F25" s="788"/>
      <c r="G25" s="788"/>
      <c r="H25" s="789"/>
      <c r="I25" s="789"/>
    </row>
    <row r="26" spans="1:9" ht="28.5" customHeight="1" thickBot="1">
      <c r="A26" s="288" t="s">
        <v>64</v>
      </c>
      <c r="B26" s="289" t="s">
        <v>101</v>
      </c>
      <c r="C26" s="1444" t="s">
        <v>90</v>
      </c>
      <c r="D26" s="1445"/>
      <c r="E26" s="290">
        <v>0</v>
      </c>
      <c r="F26" s="7"/>
      <c r="G26" s="7"/>
      <c r="H26" s="8"/>
      <c r="I26" s="8"/>
    </row>
    <row r="27" spans="1:9" ht="16.5" thickBot="1">
      <c r="A27" s="282" t="s">
        <v>89</v>
      </c>
      <c r="B27" s="283" t="s">
        <v>101</v>
      </c>
      <c r="C27" s="1436" t="s">
        <v>116</v>
      </c>
      <c r="D27" s="1437"/>
      <c r="E27" s="284">
        <f>E6+E7-E9</f>
        <v>136440</v>
      </c>
      <c r="F27" s="7"/>
      <c r="G27" s="7"/>
      <c r="H27" s="8"/>
      <c r="I27" s="8"/>
    </row>
    <row r="28" spans="1:9" ht="15">
      <c r="A28" s="7"/>
      <c r="B28" s="7"/>
      <c r="C28" s="7"/>
      <c r="D28" s="279"/>
      <c r="E28" s="7"/>
      <c r="F28" s="7"/>
      <c r="G28" s="7"/>
      <c r="H28" s="8"/>
      <c r="I28" s="8"/>
    </row>
    <row r="29" spans="1:9" ht="15">
      <c r="A29" s="8"/>
      <c r="B29" s="8"/>
      <c r="C29" s="8"/>
      <c r="D29" s="279"/>
      <c r="E29" s="8"/>
      <c r="F29" s="7"/>
      <c r="G29" s="7"/>
      <c r="H29" s="8"/>
      <c r="I29" s="8"/>
    </row>
    <row r="30" spans="1:9" ht="15">
      <c r="A30" s="8"/>
      <c r="B30" s="8"/>
      <c r="C30" s="8"/>
      <c r="D30" s="279"/>
      <c r="E30" s="8"/>
      <c r="F30" s="7"/>
      <c r="G30" s="7"/>
      <c r="H30" s="8"/>
      <c r="I30" s="8"/>
    </row>
    <row r="31" spans="1:9" ht="15">
      <c r="A31" s="8"/>
      <c r="B31" s="8"/>
      <c r="C31" s="8"/>
      <c r="D31" s="279"/>
      <c r="E31" s="8"/>
      <c r="F31" s="8"/>
      <c r="G31" s="8"/>
      <c r="H31" s="8"/>
      <c r="I31" s="8"/>
    </row>
    <row r="32" spans="1:9" ht="15">
      <c r="A32" s="8"/>
      <c r="B32" s="8"/>
      <c r="C32" s="8"/>
      <c r="D32" s="279"/>
      <c r="E32" s="8"/>
      <c r="F32" s="8"/>
      <c r="G32" s="8"/>
      <c r="H32" s="8"/>
      <c r="I32" s="8"/>
    </row>
    <row r="33" spans="6:9" ht="15">
      <c r="F33" s="8"/>
      <c r="G33" s="8"/>
      <c r="H33" s="8"/>
      <c r="I33" s="8"/>
    </row>
    <row r="34" spans="6:9" ht="15">
      <c r="F34" s="8"/>
      <c r="G34" s="8"/>
      <c r="H34" s="8"/>
      <c r="I34" s="8"/>
    </row>
  </sheetData>
  <mergeCells count="14">
    <mergeCell ref="C27:D27"/>
    <mergeCell ref="C10:D10"/>
    <mergeCell ref="C11:D11"/>
    <mergeCell ref="C26:D26"/>
    <mergeCell ref="C6:D6"/>
    <mergeCell ref="C7:D7"/>
    <mergeCell ref="C8:D8"/>
    <mergeCell ref="C9:D9"/>
    <mergeCell ref="A2:E2"/>
    <mergeCell ref="A4:A5"/>
    <mergeCell ref="B4:B5"/>
    <mergeCell ref="E4:E5"/>
    <mergeCell ref="C5:D5"/>
    <mergeCell ref="C4:D4"/>
  </mergeCells>
  <printOptions horizontalCentered="1"/>
  <pageMargins left="0.57" right="0.54" top="0.94" bottom="0.73" header="0.5118110236220472" footer="0.5"/>
  <pageSetup horizontalDpi="600" verticalDpi="600" orientation="portrait" paperSize="9" scale="95" r:id="rId1"/>
  <headerFooter alignWithMargins="0">
    <oddFooter>&amp;CStrona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usz11">
    <tabColor indexed="42"/>
  </sheetPr>
  <dimension ref="A1:J9"/>
  <sheetViews>
    <sheetView showGridLines="0" workbookViewId="0" topLeftCell="A1">
      <selection activeCell="A3" sqref="A3"/>
    </sheetView>
  </sheetViews>
  <sheetFormatPr defaultColWidth="9.00390625" defaultRowHeight="12.75"/>
  <cols>
    <col min="1" max="1" width="4.00390625" style="2" customWidth="1"/>
    <col min="2" max="2" width="8.125" style="2" customWidth="1"/>
    <col min="3" max="3" width="9.875" style="2" customWidth="1"/>
    <col min="4" max="4" width="5.75390625" style="2" customWidth="1"/>
    <col min="5" max="5" width="41.625" style="2" customWidth="1"/>
    <col min="6" max="6" width="22.375" style="2" customWidth="1"/>
    <col min="7" max="16384" width="9.125" style="2" customWidth="1"/>
  </cols>
  <sheetData>
    <row r="1" ht="48.75" customHeight="1">
      <c r="F1" s="37" t="s">
        <v>862</v>
      </c>
    </row>
    <row r="2" spans="1:10" ht="48" customHeight="1">
      <c r="A2" s="1187" t="s">
        <v>910</v>
      </c>
      <c r="B2" s="1426"/>
      <c r="C2" s="1426"/>
      <c r="D2" s="1426"/>
      <c r="E2" s="1426"/>
      <c r="F2" s="1426"/>
      <c r="G2" s="39"/>
      <c r="I2" s="30"/>
      <c r="J2" s="30"/>
    </row>
    <row r="3" spans="1:10" ht="9.75" customHeight="1" thickBot="1">
      <c r="A3" s="31"/>
      <c r="B3" s="31"/>
      <c r="C3" s="31"/>
      <c r="D3" s="31"/>
      <c r="E3" s="31"/>
      <c r="F3" s="38" t="s">
        <v>92</v>
      </c>
      <c r="I3" s="30"/>
      <c r="J3" s="30"/>
    </row>
    <row r="4" spans="1:6" ht="64.5" customHeight="1" thickBot="1">
      <c r="A4" s="1083" t="s">
        <v>112</v>
      </c>
      <c r="B4" s="1084" t="s">
        <v>52</v>
      </c>
      <c r="C4" s="1084" t="s">
        <v>53</v>
      </c>
      <c r="D4" s="1084" t="s">
        <v>129</v>
      </c>
      <c r="E4" s="1085" t="s">
        <v>98</v>
      </c>
      <c r="F4" s="1086" t="s">
        <v>161</v>
      </c>
    </row>
    <row r="5" spans="1:6" ht="12" customHeight="1">
      <c r="A5" s="309">
        <v>1</v>
      </c>
      <c r="B5" s="310">
        <v>2</v>
      </c>
      <c r="C5" s="310">
        <v>3</v>
      </c>
      <c r="D5" s="310">
        <v>4</v>
      </c>
      <c r="E5" s="311">
        <v>5</v>
      </c>
      <c r="F5" s="312">
        <v>6</v>
      </c>
    </row>
    <row r="6" spans="1:6" ht="30" customHeight="1" thickBot="1">
      <c r="A6" s="313">
        <v>1</v>
      </c>
      <c r="B6" s="314">
        <v>921</v>
      </c>
      <c r="C6" s="314">
        <v>92109</v>
      </c>
      <c r="D6" s="314">
        <v>2480</v>
      </c>
      <c r="E6" s="315" t="s">
        <v>802</v>
      </c>
      <c r="F6" s="316">
        <f>2!F231</f>
        <v>538750</v>
      </c>
    </row>
    <row r="7" spans="1:6" ht="30" customHeight="1" thickBot="1">
      <c r="A7" s="1446" t="s">
        <v>128</v>
      </c>
      <c r="B7" s="1447"/>
      <c r="C7" s="1447"/>
      <c r="D7" s="1447"/>
      <c r="E7" s="1447"/>
      <c r="F7" s="317">
        <f>F6</f>
        <v>538750</v>
      </c>
    </row>
    <row r="9" ht="12.75">
      <c r="A9" s="27" t="s">
        <v>138</v>
      </c>
    </row>
  </sheetData>
  <mergeCells count="2">
    <mergeCell ref="A2:F2"/>
    <mergeCell ref="A7:E7"/>
  </mergeCells>
  <printOptions horizontalCentered="1"/>
  <pageMargins left="0.57" right="0.54" top="1.13" bottom="0.71" header="0.5118110236220472" footer="0.5118110236220472"/>
  <pageSetup horizontalDpi="600" verticalDpi="600" orientation="portrait" paperSize="9" scale="95" r:id="rId1"/>
  <headerFooter alignWithMargins="0">
    <oddFooter>&amp;CStrona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usz13">
    <tabColor indexed="42"/>
  </sheetPr>
  <dimension ref="A1:G10"/>
  <sheetViews>
    <sheetView showGridLines="0" workbookViewId="0" topLeftCell="A1">
      <selection activeCell="A9" sqref="A9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5.00390625" style="0" customWidth="1"/>
    <col min="5" max="5" width="43.875" style="0" customWidth="1"/>
    <col min="6" max="6" width="22.875" style="0" customWidth="1"/>
  </cols>
  <sheetData>
    <row r="1" ht="60" customHeight="1">
      <c r="F1" s="37" t="s">
        <v>863</v>
      </c>
    </row>
    <row r="2" spans="1:7" ht="74.25" customHeight="1">
      <c r="A2" s="1187" t="s">
        <v>912</v>
      </c>
      <c r="B2" s="1426"/>
      <c r="C2" s="1426"/>
      <c r="D2" s="1426"/>
      <c r="E2" s="1426"/>
      <c r="F2" s="1426"/>
      <c r="G2" s="39"/>
    </row>
    <row r="3" spans="1:6" ht="9.75" customHeight="1" thickBot="1">
      <c r="A3" s="31"/>
      <c r="B3" s="31"/>
      <c r="C3" s="31"/>
      <c r="D3" s="31"/>
      <c r="E3" s="31"/>
      <c r="F3" s="38" t="s">
        <v>92</v>
      </c>
    </row>
    <row r="4" spans="1:6" ht="64.5" customHeight="1">
      <c r="A4" s="710" t="s">
        <v>112</v>
      </c>
      <c r="B4" s="711" t="s">
        <v>52</v>
      </c>
      <c r="C4" s="711" t="s">
        <v>53</v>
      </c>
      <c r="D4" s="711" t="s">
        <v>129</v>
      </c>
      <c r="E4" s="711" t="s">
        <v>93</v>
      </c>
      <c r="F4" s="712" t="s">
        <v>164</v>
      </c>
    </row>
    <row r="5" spans="1:6" s="26" customFormat="1" ht="12" customHeight="1" thickBot="1">
      <c r="A5" s="620">
        <v>1</v>
      </c>
      <c r="B5" s="621">
        <v>2</v>
      </c>
      <c r="C5" s="621">
        <v>3</v>
      </c>
      <c r="D5" s="621">
        <v>4</v>
      </c>
      <c r="E5" s="621">
        <v>5</v>
      </c>
      <c r="F5" s="622">
        <v>6</v>
      </c>
    </row>
    <row r="6" spans="1:6" ht="44.25" customHeight="1" thickBot="1">
      <c r="A6" s="713">
        <v>1</v>
      </c>
      <c r="B6" s="713">
        <v>900</v>
      </c>
      <c r="C6" s="713">
        <v>90004</v>
      </c>
      <c r="D6" s="713">
        <v>6210</v>
      </c>
      <c r="E6" s="714" t="s">
        <v>853</v>
      </c>
      <c r="F6" s="715">
        <v>8000</v>
      </c>
    </row>
    <row r="7" spans="1:6" ht="44.25" customHeight="1" hidden="1" thickBot="1">
      <c r="A7" s="780"/>
      <c r="B7" s="780"/>
      <c r="C7" s="780"/>
      <c r="D7" s="780"/>
      <c r="E7" s="781"/>
      <c r="F7" s="782"/>
    </row>
    <row r="8" spans="1:6" ht="30" customHeight="1" thickBot="1">
      <c r="A8" s="1448" t="s">
        <v>128</v>
      </c>
      <c r="B8" s="1449"/>
      <c r="C8" s="1449"/>
      <c r="D8" s="1449"/>
      <c r="E8" s="1450"/>
      <c r="F8" s="332">
        <f>SUM(F6:F6)</f>
        <v>8000</v>
      </c>
    </row>
    <row r="10" ht="12.75">
      <c r="A10" s="27" t="s">
        <v>138</v>
      </c>
    </row>
  </sheetData>
  <mergeCells count="2">
    <mergeCell ref="A2:F2"/>
    <mergeCell ref="A8:E8"/>
  </mergeCells>
  <printOptions horizontalCentered="1"/>
  <pageMargins left="0.57" right="0.54" top="0.87" bottom="0.75" header="0.5118110236220472" footer="0.5118110236220472"/>
  <pageSetup horizontalDpi="600" verticalDpi="600" orientation="portrait" paperSize="9" scale="95" r:id="rId1"/>
  <headerFooter alignWithMargins="0">
    <oddFooter>&amp;CStrona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usz14">
    <tabColor indexed="42"/>
  </sheetPr>
  <dimension ref="A1:H10"/>
  <sheetViews>
    <sheetView showGridLines="0" workbookViewId="0" topLeftCell="A1">
      <selection activeCell="A9" sqref="A9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7.375" style="0" customWidth="1"/>
    <col min="5" max="5" width="42.25390625" style="0" customWidth="1"/>
    <col min="6" max="6" width="27.375" style="0" customWidth="1"/>
    <col min="7" max="7" width="21.375" style="0" customWidth="1"/>
  </cols>
  <sheetData>
    <row r="1" ht="59.25" customHeight="1">
      <c r="G1" s="37" t="s">
        <v>864</v>
      </c>
    </row>
    <row r="2" spans="1:8" ht="60" customHeight="1">
      <c r="A2" s="1187" t="s">
        <v>913</v>
      </c>
      <c r="B2" s="1426"/>
      <c r="C2" s="1426"/>
      <c r="D2" s="1426"/>
      <c r="E2" s="1426"/>
      <c r="F2" s="1426"/>
      <c r="G2" s="1426"/>
      <c r="H2" s="39"/>
    </row>
    <row r="3" spans="1:7" ht="9.75" customHeight="1">
      <c r="A3" s="31"/>
      <c r="B3" s="31"/>
      <c r="C3" s="31"/>
      <c r="D3" s="31"/>
      <c r="E3" s="31"/>
      <c r="F3" s="31"/>
      <c r="G3" s="38" t="s">
        <v>92</v>
      </c>
    </row>
    <row r="4" spans="1:7" ht="64.5" customHeight="1">
      <c r="A4" s="1087" t="s">
        <v>112</v>
      </c>
      <c r="B4" s="1087" t="s">
        <v>52</v>
      </c>
      <c r="C4" s="1087" t="s">
        <v>53</v>
      </c>
      <c r="D4" s="1087" t="s">
        <v>129</v>
      </c>
      <c r="E4" s="1087" t="s">
        <v>93</v>
      </c>
      <c r="F4" s="1088" t="s">
        <v>174</v>
      </c>
      <c r="G4" s="1088" t="s">
        <v>161</v>
      </c>
    </row>
    <row r="5" spans="1:7" s="26" customFormat="1" ht="12" customHeight="1">
      <c r="A5" s="9">
        <v>1</v>
      </c>
      <c r="B5" s="9">
        <v>2</v>
      </c>
      <c r="C5" s="9">
        <v>3</v>
      </c>
      <c r="D5" s="9">
        <v>4</v>
      </c>
      <c r="E5" s="9">
        <v>5</v>
      </c>
      <c r="F5" s="9">
        <v>6</v>
      </c>
      <c r="G5" s="9">
        <v>7</v>
      </c>
    </row>
    <row r="6" spans="1:7" ht="30" customHeight="1">
      <c r="A6" s="963">
        <v>1</v>
      </c>
      <c r="B6" s="963">
        <v>852</v>
      </c>
      <c r="C6" s="963">
        <v>85295</v>
      </c>
      <c r="D6" s="964">
        <v>2710</v>
      </c>
      <c r="E6" s="965" t="s">
        <v>811</v>
      </c>
      <c r="F6" s="963" t="s">
        <v>809</v>
      </c>
      <c r="G6" s="966">
        <v>5000</v>
      </c>
    </row>
    <row r="7" spans="1:7" ht="30" customHeight="1" thickBot="1">
      <c r="A7" s="292" t="s">
        <v>810</v>
      </c>
      <c r="B7" s="292" t="s">
        <v>810</v>
      </c>
      <c r="C7" s="292" t="s">
        <v>810</v>
      </c>
      <c r="D7" s="333">
        <v>6300</v>
      </c>
      <c r="E7" s="322" t="s">
        <v>810</v>
      </c>
      <c r="F7" s="292" t="s">
        <v>810</v>
      </c>
      <c r="G7" s="334">
        <v>0</v>
      </c>
    </row>
    <row r="8" spans="1:7" ht="30" customHeight="1" thickBot="1">
      <c r="A8" s="1448" t="s">
        <v>128</v>
      </c>
      <c r="B8" s="1449"/>
      <c r="C8" s="1449"/>
      <c r="D8" s="1449"/>
      <c r="E8" s="1450"/>
      <c r="F8" s="335"/>
      <c r="G8" s="332">
        <f>SUM(G6:G7)</f>
        <v>5000</v>
      </c>
    </row>
    <row r="10" ht="12.75">
      <c r="A10" s="27" t="s">
        <v>138</v>
      </c>
    </row>
  </sheetData>
  <mergeCells count="2">
    <mergeCell ref="A2:G2"/>
    <mergeCell ref="A8:E8"/>
  </mergeCells>
  <printOptions horizontalCentered="1"/>
  <pageMargins left="0.57" right="0.54" top="0.82" bottom="0.68" header="0.5118110236220472" footer="0.48"/>
  <pageSetup horizontalDpi="600" verticalDpi="600" orientation="landscape" paperSize="9" scale="95" r:id="rId1"/>
  <headerFooter alignWithMargins="0">
    <oddFooter>&amp;CStrona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Arkusz15">
    <tabColor indexed="42"/>
  </sheetPr>
  <dimension ref="A1:G12"/>
  <sheetViews>
    <sheetView showGridLines="0" workbookViewId="0" topLeftCell="A1">
      <selection activeCell="A3" sqref="A3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5.875" style="0" customWidth="1"/>
    <col min="5" max="5" width="43.875" style="0" customWidth="1"/>
    <col min="6" max="6" width="24.25390625" style="0" customWidth="1"/>
  </cols>
  <sheetData>
    <row r="1" ht="57.75" customHeight="1">
      <c r="F1" s="37" t="s">
        <v>865</v>
      </c>
    </row>
    <row r="2" spans="1:7" ht="69.75" customHeight="1">
      <c r="A2" s="1187" t="s">
        <v>915</v>
      </c>
      <c r="B2" s="1426"/>
      <c r="C2" s="1426"/>
      <c r="D2" s="1426"/>
      <c r="E2" s="1426"/>
      <c r="F2" s="1426"/>
      <c r="G2" s="39"/>
    </row>
    <row r="3" spans="1:6" ht="9.75" customHeight="1" thickBot="1">
      <c r="A3" s="31"/>
      <c r="B3" s="31"/>
      <c r="C3" s="31"/>
      <c r="D3" s="31"/>
      <c r="E3" s="31"/>
      <c r="F3" s="38" t="s">
        <v>92</v>
      </c>
    </row>
    <row r="4" spans="1:6" ht="64.5" customHeight="1" thickBot="1">
      <c r="A4" s="1083" t="s">
        <v>112</v>
      </c>
      <c r="B4" s="1084" t="s">
        <v>52</v>
      </c>
      <c r="C4" s="1084" t="s">
        <v>53</v>
      </c>
      <c r="D4" s="1084" t="s">
        <v>129</v>
      </c>
      <c r="E4" s="1085" t="s">
        <v>93</v>
      </c>
      <c r="F4" s="1086" t="s">
        <v>161</v>
      </c>
    </row>
    <row r="5" spans="1:6" s="26" customFormat="1" ht="12" customHeight="1">
      <c r="A5" s="309">
        <v>1</v>
      </c>
      <c r="B5" s="310">
        <v>2</v>
      </c>
      <c r="C5" s="310">
        <v>3</v>
      </c>
      <c r="D5" s="310">
        <v>4</v>
      </c>
      <c r="E5" s="311">
        <v>5</v>
      </c>
      <c r="F5" s="312">
        <v>6</v>
      </c>
    </row>
    <row r="6" spans="1:6" ht="60.75" customHeight="1">
      <c r="A6" s="968">
        <v>1</v>
      </c>
      <c r="B6" s="969">
        <v>630</v>
      </c>
      <c r="C6" s="969">
        <v>63003</v>
      </c>
      <c r="D6" s="969">
        <v>2820</v>
      </c>
      <c r="E6" s="970" t="s">
        <v>281</v>
      </c>
      <c r="F6" s="971">
        <v>1500</v>
      </c>
    </row>
    <row r="7" spans="1:6" ht="60.75" customHeight="1">
      <c r="A7" s="968">
        <v>2</v>
      </c>
      <c r="B7" s="969">
        <v>851</v>
      </c>
      <c r="C7" s="969">
        <v>85195</v>
      </c>
      <c r="D7" s="969">
        <v>2820</v>
      </c>
      <c r="E7" s="970" t="s">
        <v>282</v>
      </c>
      <c r="F7" s="971">
        <v>6000</v>
      </c>
    </row>
    <row r="8" spans="1:6" ht="60.75" customHeight="1">
      <c r="A8" s="968">
        <v>3</v>
      </c>
      <c r="B8" s="969">
        <v>921</v>
      </c>
      <c r="C8" s="969">
        <v>92120</v>
      </c>
      <c r="D8" s="969">
        <v>2720</v>
      </c>
      <c r="E8" s="970" t="s">
        <v>283</v>
      </c>
      <c r="F8" s="971">
        <v>25000</v>
      </c>
    </row>
    <row r="9" spans="1:6" ht="60.75" customHeight="1">
      <c r="A9" s="968">
        <v>4</v>
      </c>
      <c r="B9" s="969">
        <v>926</v>
      </c>
      <c r="C9" s="969">
        <v>92605</v>
      </c>
      <c r="D9" s="969">
        <v>2820</v>
      </c>
      <c r="E9" s="972" t="s">
        <v>803</v>
      </c>
      <c r="F9" s="971">
        <v>75500</v>
      </c>
    </row>
    <row r="10" spans="1:6" ht="30" customHeight="1" thickBot="1">
      <c r="A10" s="1451" t="s">
        <v>128</v>
      </c>
      <c r="B10" s="1452"/>
      <c r="C10" s="1452"/>
      <c r="D10" s="1452"/>
      <c r="E10" s="1452"/>
      <c r="F10" s="967">
        <f>SUM(F6:F9)</f>
        <v>108000</v>
      </c>
    </row>
    <row r="12" ht="12.75">
      <c r="A12" s="27" t="s">
        <v>138</v>
      </c>
    </row>
  </sheetData>
  <mergeCells count="2">
    <mergeCell ref="A2:F2"/>
    <mergeCell ref="A10:E10"/>
  </mergeCells>
  <printOptions horizontalCentered="1"/>
  <pageMargins left="0.56" right="0.25" top="0.81" bottom="0.81" header="0.5118110236220472" footer="0.64"/>
  <pageSetup horizontalDpi="600" verticalDpi="600" orientation="portrait" paperSize="9" scale="95" r:id="rId1"/>
  <headerFooter alignWithMargins="0">
    <oddFooter>&amp;CStrona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Arkusz16">
    <tabColor indexed="42"/>
  </sheetPr>
  <dimension ref="A1:J24"/>
  <sheetViews>
    <sheetView showGridLines="0" defaultGridColor="0" colorId="8" workbookViewId="0" topLeftCell="A1">
      <selection activeCell="A3" sqref="A3"/>
    </sheetView>
  </sheetViews>
  <sheetFormatPr defaultColWidth="9.00390625" defaultRowHeight="12.75"/>
  <cols>
    <col min="1" max="1" width="5.625" style="2" bestFit="1" customWidth="1"/>
    <col min="2" max="2" width="8.875" style="2" bestFit="1" customWidth="1"/>
    <col min="3" max="3" width="6.875" style="2" customWidth="1"/>
    <col min="4" max="4" width="14.25390625" style="159" customWidth="1"/>
    <col min="5" max="5" width="14.875" style="2" customWidth="1"/>
    <col min="6" max="6" width="13.625" style="2" customWidth="1"/>
    <col min="7" max="7" width="15.625" style="0" customWidth="1"/>
    <col min="8" max="8" width="15.75390625" style="0" customWidth="1"/>
    <col min="9" max="9" width="12.25390625" style="0" customWidth="1"/>
    <col min="10" max="10" width="15.625" style="0" customWidth="1"/>
  </cols>
  <sheetData>
    <row r="1" spans="9:10" ht="48.75" customHeight="1">
      <c r="I1" s="1148" t="s">
        <v>866</v>
      </c>
      <c r="J1" s="1148"/>
    </row>
    <row r="2" spans="1:10" ht="66" customHeight="1">
      <c r="A2" s="1187" t="s">
        <v>914</v>
      </c>
      <c r="B2" s="1426"/>
      <c r="C2" s="1426"/>
      <c r="D2" s="1426"/>
      <c r="E2" s="1426"/>
      <c r="F2" s="1426"/>
      <c r="G2" s="1453"/>
      <c r="H2" s="1426"/>
      <c r="I2" s="1426"/>
      <c r="J2" s="1426"/>
    </row>
    <row r="3" ht="9.75" customHeight="1">
      <c r="J3" s="38" t="s">
        <v>92</v>
      </c>
    </row>
    <row r="4" spans="1:10" s="3" customFormat="1" ht="17.25" customHeight="1">
      <c r="A4" s="1410" t="s">
        <v>52</v>
      </c>
      <c r="B4" s="1457" t="s">
        <v>53</v>
      </c>
      <c r="C4" s="1457" t="s">
        <v>129</v>
      </c>
      <c r="D4" s="1454" t="s">
        <v>124</v>
      </c>
      <c r="E4" s="1412" t="s">
        <v>133</v>
      </c>
      <c r="F4" s="1412" t="s">
        <v>120</v>
      </c>
      <c r="G4" s="1412"/>
      <c r="H4" s="1412"/>
      <c r="I4" s="1412"/>
      <c r="J4" s="1412"/>
    </row>
    <row r="5" spans="1:10" s="3" customFormat="1" ht="12" customHeight="1">
      <c r="A5" s="1410"/>
      <c r="B5" s="1458"/>
      <c r="C5" s="1458"/>
      <c r="D5" s="1455"/>
      <c r="E5" s="1412"/>
      <c r="F5" s="1412" t="s">
        <v>122</v>
      </c>
      <c r="G5" s="1412" t="s">
        <v>56</v>
      </c>
      <c r="H5" s="1412"/>
      <c r="I5" s="1412"/>
      <c r="J5" s="1412" t="s">
        <v>123</v>
      </c>
    </row>
    <row r="6" spans="1:10" s="3" customFormat="1" ht="65.25" customHeight="1">
      <c r="A6" s="1410"/>
      <c r="B6" s="1459"/>
      <c r="C6" s="1459"/>
      <c r="D6" s="1456"/>
      <c r="E6" s="1412"/>
      <c r="F6" s="1412"/>
      <c r="G6" s="1090" t="s">
        <v>141</v>
      </c>
      <c r="H6" s="1090" t="s">
        <v>140</v>
      </c>
      <c r="I6" s="1088" t="s">
        <v>121</v>
      </c>
      <c r="J6" s="1412"/>
    </row>
    <row r="7" spans="1:10" ht="9" customHeight="1" thickBot="1">
      <c r="A7" s="9">
        <v>1</v>
      </c>
      <c r="B7" s="9">
        <v>2</v>
      </c>
      <c r="C7" s="9">
        <v>3</v>
      </c>
      <c r="D7" s="328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</row>
    <row r="8" spans="1:10" ht="19.5" customHeight="1" thickBot="1">
      <c r="A8" s="256" t="s">
        <v>424</v>
      </c>
      <c r="B8" s="256"/>
      <c r="C8" s="247"/>
      <c r="D8" s="257">
        <f aca="true" t="shared" si="0" ref="D8:J8">D9</f>
        <v>60600</v>
      </c>
      <c r="E8" s="257">
        <f t="shared" si="0"/>
        <v>60600</v>
      </c>
      <c r="F8" s="257">
        <f t="shared" si="0"/>
        <v>60600</v>
      </c>
      <c r="G8" s="257">
        <f t="shared" si="0"/>
        <v>49600</v>
      </c>
      <c r="H8" s="257">
        <f t="shared" si="0"/>
        <v>8600</v>
      </c>
      <c r="I8" s="257">
        <f t="shared" si="0"/>
        <v>0</v>
      </c>
      <c r="J8" s="257">
        <f t="shared" si="0"/>
        <v>0</v>
      </c>
    </row>
    <row r="9" spans="1:10" ht="19.5" customHeight="1" thickBot="1">
      <c r="A9" s="255"/>
      <c r="B9" s="255" t="s">
        <v>425</v>
      </c>
      <c r="C9" s="248"/>
      <c r="D9" s="252">
        <v>60600</v>
      </c>
      <c r="E9" s="243">
        <v>60600</v>
      </c>
      <c r="F9" s="243">
        <v>60600</v>
      </c>
      <c r="G9" s="243">
        <f>46000+3600</f>
        <v>49600</v>
      </c>
      <c r="H9" s="243">
        <f>7400+1200</f>
        <v>8600</v>
      </c>
      <c r="I9" s="243">
        <v>0</v>
      </c>
      <c r="J9" s="243">
        <v>0</v>
      </c>
    </row>
    <row r="10" spans="1:10" ht="19.5" customHeight="1" thickBot="1">
      <c r="A10" s="256" t="s">
        <v>552</v>
      </c>
      <c r="B10" s="256"/>
      <c r="C10" s="247"/>
      <c r="D10" s="257">
        <f aca="true" t="shared" si="1" ref="D10:J10">D11</f>
        <v>720</v>
      </c>
      <c r="E10" s="257">
        <f t="shared" si="1"/>
        <v>720</v>
      </c>
      <c r="F10" s="257">
        <f t="shared" si="1"/>
        <v>720</v>
      </c>
      <c r="G10" s="257">
        <f t="shared" si="1"/>
        <v>613</v>
      </c>
      <c r="H10" s="257">
        <f t="shared" si="1"/>
        <v>107</v>
      </c>
      <c r="I10" s="257">
        <f t="shared" si="1"/>
        <v>0</v>
      </c>
      <c r="J10" s="257">
        <f t="shared" si="1"/>
        <v>0</v>
      </c>
    </row>
    <row r="11" spans="1:10" ht="19.5" customHeight="1" thickBot="1">
      <c r="A11" s="255"/>
      <c r="B11" s="255" t="s">
        <v>553</v>
      </c>
      <c r="C11" s="248"/>
      <c r="D11" s="252">
        <v>720</v>
      </c>
      <c r="E11" s="243">
        <v>720</v>
      </c>
      <c r="F11" s="243">
        <v>720</v>
      </c>
      <c r="G11" s="243">
        <v>613</v>
      </c>
      <c r="H11" s="243">
        <v>107</v>
      </c>
      <c r="I11" s="243">
        <v>0</v>
      </c>
      <c r="J11" s="243">
        <v>0</v>
      </c>
    </row>
    <row r="12" spans="1:10" ht="19.5" customHeight="1" thickBot="1">
      <c r="A12" s="256" t="s">
        <v>612</v>
      </c>
      <c r="B12" s="256"/>
      <c r="C12" s="247"/>
      <c r="D12" s="257">
        <f>SUM(D13:D15)</f>
        <v>1586000</v>
      </c>
      <c r="E12" s="257">
        <f aca="true" t="shared" si="2" ref="E12:J12">SUM(E13:E15)</f>
        <v>1586000</v>
      </c>
      <c r="F12" s="257">
        <f t="shared" si="2"/>
        <v>1586000</v>
      </c>
      <c r="G12" s="257">
        <f t="shared" si="2"/>
        <v>36700</v>
      </c>
      <c r="H12" s="257">
        <f t="shared" si="2"/>
        <v>6800</v>
      </c>
      <c r="I12" s="257">
        <f t="shared" si="2"/>
        <v>0</v>
      </c>
      <c r="J12" s="257">
        <f t="shared" si="2"/>
        <v>0</v>
      </c>
    </row>
    <row r="13" spans="1:10" ht="19.5" customHeight="1">
      <c r="A13" s="255"/>
      <c r="B13" s="255" t="s">
        <v>613</v>
      </c>
      <c r="C13" s="248"/>
      <c r="D13" s="252">
        <v>1492000</v>
      </c>
      <c r="E13" s="243">
        <v>1492000</v>
      </c>
      <c r="F13" s="243">
        <v>1492000</v>
      </c>
      <c r="G13" s="184">
        <v>36700</v>
      </c>
      <c r="H13" s="184">
        <v>6800</v>
      </c>
      <c r="I13" s="243">
        <v>0</v>
      </c>
      <c r="J13" s="243">
        <v>0</v>
      </c>
    </row>
    <row r="14" spans="1:10" ht="19.5" customHeight="1">
      <c r="A14" s="17"/>
      <c r="B14" s="17">
        <v>85213</v>
      </c>
      <c r="C14" s="10"/>
      <c r="D14" s="226">
        <v>9000</v>
      </c>
      <c r="E14" s="226">
        <v>9000</v>
      </c>
      <c r="F14" s="226">
        <v>9000</v>
      </c>
      <c r="G14" s="226"/>
      <c r="H14" s="226"/>
      <c r="I14" s="226"/>
      <c r="J14" s="226"/>
    </row>
    <row r="15" spans="1:10" ht="19.5" customHeight="1" thickBot="1">
      <c r="A15" s="329"/>
      <c r="B15" s="329">
        <v>85214</v>
      </c>
      <c r="C15" s="330"/>
      <c r="D15" s="269">
        <v>85000</v>
      </c>
      <c r="E15" s="269">
        <v>85000</v>
      </c>
      <c r="F15" s="269">
        <v>85000</v>
      </c>
      <c r="G15" s="269"/>
      <c r="H15" s="269"/>
      <c r="I15" s="269"/>
      <c r="J15" s="269"/>
    </row>
    <row r="16" spans="1:10" ht="19.5" customHeight="1" thickBot="1">
      <c r="A16" s="1401" t="s">
        <v>128</v>
      </c>
      <c r="B16" s="1402"/>
      <c r="C16" s="1402"/>
      <c r="D16" s="1402"/>
      <c r="E16" s="331">
        <f aca="true" t="shared" si="3" ref="E16:J16">E8+E10+E12</f>
        <v>1647320</v>
      </c>
      <c r="F16" s="331">
        <f t="shared" si="3"/>
        <v>1647320</v>
      </c>
      <c r="G16" s="331">
        <f t="shared" si="3"/>
        <v>86913</v>
      </c>
      <c r="H16" s="331">
        <f t="shared" si="3"/>
        <v>15507</v>
      </c>
      <c r="I16" s="331">
        <f t="shared" si="3"/>
        <v>0</v>
      </c>
      <c r="J16" s="332">
        <f t="shared" si="3"/>
        <v>0</v>
      </c>
    </row>
    <row r="18" ht="12.75">
      <c r="A18" s="27" t="s">
        <v>137</v>
      </c>
    </row>
    <row r="24" ht="12.75">
      <c r="E24" s="159"/>
    </row>
  </sheetData>
  <mergeCells count="12">
    <mergeCell ref="A16:D16"/>
    <mergeCell ref="D4:D6"/>
    <mergeCell ref="E4:E6"/>
    <mergeCell ref="A4:A6"/>
    <mergeCell ref="B4:B6"/>
    <mergeCell ref="C4:C6"/>
    <mergeCell ref="I1:J1"/>
    <mergeCell ref="G5:I5"/>
    <mergeCell ref="J5:J6"/>
    <mergeCell ref="F4:J4"/>
    <mergeCell ref="A2:J2"/>
    <mergeCell ref="F5:F6"/>
  </mergeCells>
  <printOptions horizontalCentered="1"/>
  <pageMargins left="0.57" right="0.27" top="1.01" bottom="0.69" header="0.5118110236220472" footer="0.5118110236220472"/>
  <pageSetup horizontalDpi="300" verticalDpi="300" orientation="landscape" paperSize="9" scale="95" r:id="rId1"/>
  <headerFooter alignWithMargins="0">
    <oddFooter>&amp;CStrona &amp;P z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Arkusz18">
    <tabColor indexed="42"/>
    <pageSetUpPr fitToPage="1"/>
  </sheetPr>
  <dimension ref="A1:J15"/>
  <sheetViews>
    <sheetView showGridLines="0" defaultGridColor="0" colorId="8" workbookViewId="0" topLeftCell="A1">
      <selection activeCell="A3" sqref="A3"/>
    </sheetView>
  </sheetViews>
  <sheetFormatPr defaultColWidth="9.00390625" defaultRowHeight="12.75"/>
  <cols>
    <col min="1" max="1" width="5.625" style="2" bestFit="1" customWidth="1"/>
    <col min="2" max="2" width="8.875" style="2" bestFit="1" customWidth="1"/>
    <col min="3" max="3" width="6.875" style="2" customWidth="1"/>
    <col min="4" max="4" width="14.25390625" style="2" customWidth="1"/>
    <col min="5" max="5" width="14.875" style="2" customWidth="1"/>
    <col min="6" max="6" width="13.625" style="2" customWidth="1"/>
    <col min="7" max="7" width="15.625" style="0" customWidth="1"/>
    <col min="8" max="8" width="15.75390625" style="0" customWidth="1"/>
    <col min="9" max="9" width="11.25390625" style="0" customWidth="1"/>
    <col min="10" max="10" width="13.375" style="0" customWidth="1"/>
  </cols>
  <sheetData>
    <row r="1" spans="9:10" ht="48.75" customHeight="1">
      <c r="I1" s="1295" t="s">
        <v>867</v>
      </c>
      <c r="J1" s="1295"/>
    </row>
    <row r="2" spans="1:10" ht="67.5" customHeight="1">
      <c r="A2" s="1187" t="s">
        <v>916</v>
      </c>
      <c r="B2" s="1426"/>
      <c r="C2" s="1426"/>
      <c r="D2" s="1426"/>
      <c r="E2" s="1426"/>
      <c r="F2" s="1426"/>
      <c r="G2" s="1453"/>
      <c r="H2" s="1426"/>
      <c r="I2" s="1426"/>
      <c r="J2" s="1426"/>
    </row>
    <row r="3" ht="9.75" customHeight="1">
      <c r="J3" s="38" t="s">
        <v>92</v>
      </c>
    </row>
    <row r="4" spans="1:10" s="3" customFormat="1" ht="16.5" customHeight="1">
      <c r="A4" s="1410" t="s">
        <v>52</v>
      </c>
      <c r="B4" s="1457" t="s">
        <v>53</v>
      </c>
      <c r="C4" s="1457" t="s">
        <v>129</v>
      </c>
      <c r="D4" s="1412" t="s">
        <v>124</v>
      </c>
      <c r="E4" s="1412" t="s">
        <v>133</v>
      </c>
      <c r="F4" s="1412" t="s">
        <v>120</v>
      </c>
      <c r="G4" s="1412"/>
      <c r="H4" s="1412"/>
      <c r="I4" s="1412"/>
      <c r="J4" s="1412"/>
    </row>
    <row r="5" spans="1:10" s="3" customFormat="1" ht="12" customHeight="1">
      <c r="A5" s="1410"/>
      <c r="B5" s="1458"/>
      <c r="C5" s="1458"/>
      <c r="D5" s="1410"/>
      <c r="E5" s="1412"/>
      <c r="F5" s="1412" t="s">
        <v>122</v>
      </c>
      <c r="G5" s="1412" t="s">
        <v>56</v>
      </c>
      <c r="H5" s="1412"/>
      <c r="I5" s="1412"/>
      <c r="J5" s="1412" t="s">
        <v>123</v>
      </c>
    </row>
    <row r="6" spans="1:10" s="3" customFormat="1" ht="65.25" customHeight="1">
      <c r="A6" s="1410"/>
      <c r="B6" s="1459"/>
      <c r="C6" s="1459"/>
      <c r="D6" s="1410"/>
      <c r="E6" s="1412"/>
      <c r="F6" s="1412"/>
      <c r="G6" s="1090" t="s">
        <v>141</v>
      </c>
      <c r="H6" s="1090" t="s">
        <v>140</v>
      </c>
      <c r="I6" s="1088" t="s">
        <v>121</v>
      </c>
      <c r="J6" s="1412"/>
    </row>
    <row r="7" spans="1:10" ht="9" customHeight="1" thickBo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</row>
    <row r="8" spans="1:10" ht="19.5" customHeight="1" thickBot="1">
      <c r="A8" s="318">
        <v>600</v>
      </c>
      <c r="B8" s="318"/>
      <c r="C8" s="318"/>
      <c r="D8" s="319">
        <f>D9+D10</f>
        <v>160000</v>
      </c>
      <c r="E8" s="319">
        <f aca="true" t="shared" si="0" ref="E8:J8">E9+E10</f>
        <v>160000</v>
      </c>
      <c r="F8" s="319">
        <f t="shared" si="0"/>
        <v>40000</v>
      </c>
      <c r="G8" s="319">
        <f t="shared" si="0"/>
        <v>0</v>
      </c>
      <c r="H8" s="319">
        <f t="shared" si="0"/>
        <v>0</v>
      </c>
      <c r="I8" s="319">
        <f t="shared" si="0"/>
        <v>0</v>
      </c>
      <c r="J8" s="319">
        <f t="shared" si="0"/>
        <v>120000</v>
      </c>
    </row>
    <row r="9" spans="1:10" ht="19.5" customHeight="1">
      <c r="A9" s="973"/>
      <c r="B9" s="973">
        <v>60014</v>
      </c>
      <c r="C9" s="973"/>
      <c r="D9" s="974">
        <v>40000</v>
      </c>
      <c r="E9" s="974">
        <v>40000</v>
      </c>
      <c r="F9" s="974">
        <v>40000</v>
      </c>
      <c r="G9" s="974"/>
      <c r="H9" s="974"/>
      <c r="I9" s="974"/>
      <c r="J9" s="975"/>
    </row>
    <row r="10" spans="1:10" ht="19.5" customHeight="1" thickBot="1">
      <c r="A10" s="260"/>
      <c r="B10" s="260">
        <v>60016</v>
      </c>
      <c r="C10" s="260"/>
      <c r="D10" s="259">
        <v>120000</v>
      </c>
      <c r="E10" s="259">
        <v>120000</v>
      </c>
      <c r="F10" s="259">
        <v>0</v>
      </c>
      <c r="G10" s="259"/>
      <c r="H10" s="259"/>
      <c r="I10" s="259"/>
      <c r="J10" s="261">
        <v>120000</v>
      </c>
    </row>
    <row r="11" spans="1:10" ht="19.5" customHeight="1" thickBot="1">
      <c r="A11" s="318">
        <v>750</v>
      </c>
      <c r="B11" s="318"/>
      <c r="C11" s="318"/>
      <c r="D11" s="319">
        <v>2400</v>
      </c>
      <c r="E11" s="319">
        <v>2400</v>
      </c>
      <c r="F11" s="319">
        <v>2400</v>
      </c>
      <c r="G11" s="319">
        <v>2400</v>
      </c>
      <c r="H11" s="319">
        <v>0</v>
      </c>
      <c r="I11" s="319">
        <v>0</v>
      </c>
      <c r="J11" s="319">
        <v>0</v>
      </c>
    </row>
    <row r="12" spans="1:10" ht="19.5" customHeight="1" thickBot="1">
      <c r="A12" s="260"/>
      <c r="B12" s="260">
        <v>75020</v>
      </c>
      <c r="C12" s="260"/>
      <c r="D12" s="259">
        <v>2400</v>
      </c>
      <c r="E12" s="259">
        <v>2400</v>
      </c>
      <c r="F12" s="259">
        <v>2400</v>
      </c>
      <c r="G12" s="259">
        <v>2400</v>
      </c>
      <c r="H12" s="259"/>
      <c r="I12" s="259"/>
      <c r="J12" s="259"/>
    </row>
    <row r="13" spans="1:10" ht="19.5" customHeight="1" thickBot="1">
      <c r="A13" s="1460" t="s">
        <v>128</v>
      </c>
      <c r="B13" s="1461"/>
      <c r="C13" s="1461"/>
      <c r="D13" s="1461"/>
      <c r="E13" s="548">
        <f aca="true" t="shared" si="1" ref="E13:J13">E8+E11</f>
        <v>162400</v>
      </c>
      <c r="F13" s="548">
        <f t="shared" si="1"/>
        <v>42400</v>
      </c>
      <c r="G13" s="548">
        <f t="shared" si="1"/>
        <v>2400</v>
      </c>
      <c r="H13" s="548">
        <f t="shared" si="1"/>
        <v>0</v>
      </c>
      <c r="I13" s="548">
        <f t="shared" si="1"/>
        <v>0</v>
      </c>
      <c r="J13" s="549">
        <f t="shared" si="1"/>
        <v>120000</v>
      </c>
    </row>
    <row r="15" ht="12.75">
      <c r="A15" s="27" t="s">
        <v>137</v>
      </c>
    </row>
  </sheetData>
  <mergeCells count="12">
    <mergeCell ref="A13:D13"/>
    <mergeCell ref="G5:I5"/>
    <mergeCell ref="J5:J6"/>
    <mergeCell ref="F4:J4"/>
    <mergeCell ref="D4:D6"/>
    <mergeCell ref="E4:E6"/>
    <mergeCell ref="A4:A6"/>
    <mergeCell ref="B4:B6"/>
    <mergeCell ref="I1:J1"/>
    <mergeCell ref="C4:C6"/>
    <mergeCell ref="A2:J2"/>
    <mergeCell ref="F5:F6"/>
  </mergeCells>
  <printOptions horizontalCentered="1"/>
  <pageMargins left="0.57" right="0.54" top="0.96" bottom="0.65" header="0.5118110236220472" footer="0.5118110236220472"/>
  <pageSetup fitToHeight="1" fitToWidth="1" horizontalDpi="300" verticalDpi="300" orientation="landscape" paperSize="9" r:id="rId1"/>
  <headerFooter alignWithMargins="0">
    <oddFooter>&amp;CStrona &amp;P z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Arkusz19">
    <tabColor indexed="42"/>
  </sheetPr>
  <dimension ref="A1:G18"/>
  <sheetViews>
    <sheetView showGridLines="0" workbookViewId="0" topLeftCell="A1">
      <selection activeCell="A3" sqref="A3"/>
    </sheetView>
  </sheetViews>
  <sheetFormatPr defaultColWidth="9.00390625" defaultRowHeight="12.75"/>
  <cols>
    <col min="1" max="1" width="5.375" style="0" customWidth="1"/>
    <col min="3" max="3" width="10.125" style="0" customWidth="1"/>
    <col min="4" max="4" width="5.375" style="0" customWidth="1"/>
    <col min="5" max="5" width="30.875" style="0" customWidth="1"/>
    <col min="6" max="6" width="23.125" style="0" customWidth="1"/>
  </cols>
  <sheetData>
    <row r="1" ht="48.75" customHeight="1">
      <c r="F1" s="668" t="s">
        <v>868</v>
      </c>
    </row>
    <row r="2" spans="1:7" ht="60" customHeight="1">
      <c r="A2" s="1187" t="s">
        <v>917</v>
      </c>
      <c r="B2" s="1188"/>
      <c r="C2" s="1188"/>
      <c r="D2" s="1188"/>
      <c r="E2" s="1188"/>
      <c r="F2" s="1188"/>
      <c r="G2" s="39"/>
    </row>
    <row r="3" spans="1:6" ht="9.75" customHeight="1" thickBot="1">
      <c r="A3" s="2"/>
      <c r="B3" s="2"/>
      <c r="C3" s="2"/>
      <c r="D3" s="2"/>
      <c r="E3" s="2"/>
      <c r="F3" s="38" t="s">
        <v>92</v>
      </c>
    </row>
    <row r="4" spans="1:6" s="1" customFormat="1" ht="64.5" customHeight="1">
      <c r="A4" s="1105" t="s">
        <v>112</v>
      </c>
      <c r="B4" s="1106" t="s">
        <v>52</v>
      </c>
      <c r="C4" s="1106" t="s">
        <v>53</v>
      </c>
      <c r="D4" s="1106" t="s">
        <v>129</v>
      </c>
      <c r="E4" s="1106" t="s">
        <v>99</v>
      </c>
      <c r="F4" s="1107" t="s">
        <v>58</v>
      </c>
    </row>
    <row r="5" spans="1:6" ht="12" customHeight="1" thickBot="1">
      <c r="A5" s="620">
        <v>1</v>
      </c>
      <c r="B5" s="621">
        <v>2</v>
      </c>
      <c r="C5" s="621">
        <v>3</v>
      </c>
      <c r="D5" s="621">
        <v>4</v>
      </c>
      <c r="E5" s="621">
        <v>5</v>
      </c>
      <c r="F5" s="622">
        <v>6</v>
      </c>
    </row>
    <row r="6" spans="1:6" ht="30" customHeight="1">
      <c r="A6" s="623">
        <v>1</v>
      </c>
      <c r="B6" s="277">
        <v>758</v>
      </c>
      <c r="C6" s="277">
        <v>75818</v>
      </c>
      <c r="D6" s="277"/>
      <c r="E6" s="277" t="s">
        <v>773</v>
      </c>
      <c r="F6" s="669">
        <v>3522</v>
      </c>
    </row>
    <row r="7" spans="1:6" ht="30" customHeight="1">
      <c r="A7" s="624">
        <v>2</v>
      </c>
      <c r="B7" s="10">
        <v>758</v>
      </c>
      <c r="C7" s="10">
        <v>75818</v>
      </c>
      <c r="D7" s="277"/>
      <c r="E7" s="277" t="s">
        <v>774</v>
      </c>
      <c r="F7" s="670">
        <v>3068</v>
      </c>
    </row>
    <row r="8" spans="1:6" ht="30" customHeight="1">
      <c r="A8" s="624">
        <v>3</v>
      </c>
      <c r="B8" s="10">
        <v>758</v>
      </c>
      <c r="C8" s="10">
        <v>75818</v>
      </c>
      <c r="D8" s="277"/>
      <c r="E8" s="277" t="s">
        <v>775</v>
      </c>
      <c r="F8" s="670">
        <v>3084</v>
      </c>
    </row>
    <row r="9" spans="1:6" ht="30" customHeight="1">
      <c r="A9" s="624">
        <v>4</v>
      </c>
      <c r="B9" s="10">
        <v>758</v>
      </c>
      <c r="C9" s="10">
        <v>75818</v>
      </c>
      <c r="D9" s="277"/>
      <c r="E9" s="277" t="s">
        <v>776</v>
      </c>
      <c r="F9" s="670">
        <v>3306</v>
      </c>
    </row>
    <row r="10" spans="1:6" ht="30" customHeight="1">
      <c r="A10" s="624">
        <v>5</v>
      </c>
      <c r="B10" s="10">
        <v>758</v>
      </c>
      <c r="C10" s="10">
        <v>75818</v>
      </c>
      <c r="D10" s="277"/>
      <c r="E10" s="277" t="s">
        <v>777</v>
      </c>
      <c r="F10" s="670">
        <v>3152</v>
      </c>
    </row>
    <row r="11" spans="1:6" ht="30" customHeight="1">
      <c r="A11" s="624">
        <v>6</v>
      </c>
      <c r="B11" s="10">
        <v>758</v>
      </c>
      <c r="C11" s="10">
        <v>75818</v>
      </c>
      <c r="D11" s="277"/>
      <c r="E11" s="277" t="s">
        <v>778</v>
      </c>
      <c r="F11" s="670">
        <v>3225</v>
      </c>
    </row>
    <row r="12" spans="1:6" ht="30" customHeight="1">
      <c r="A12" s="624">
        <v>7</v>
      </c>
      <c r="B12" s="10">
        <v>758</v>
      </c>
      <c r="C12" s="10">
        <v>75818</v>
      </c>
      <c r="D12" s="277"/>
      <c r="E12" s="277" t="s">
        <v>779</v>
      </c>
      <c r="F12" s="670">
        <v>3258</v>
      </c>
    </row>
    <row r="13" spans="1:6" ht="30" customHeight="1">
      <c r="A13" s="624">
        <v>8</v>
      </c>
      <c r="B13" s="10">
        <v>758</v>
      </c>
      <c r="C13" s="10">
        <v>75818</v>
      </c>
      <c r="D13" s="10"/>
      <c r="E13" s="10" t="s">
        <v>780</v>
      </c>
      <c r="F13" s="670">
        <v>3283</v>
      </c>
    </row>
    <row r="14" spans="1:6" ht="30" customHeight="1">
      <c r="A14" s="624">
        <v>9</v>
      </c>
      <c r="B14" s="10">
        <v>758</v>
      </c>
      <c r="C14" s="10">
        <v>75818</v>
      </c>
      <c r="D14" s="10"/>
      <c r="E14" s="10" t="s">
        <v>781</v>
      </c>
      <c r="F14" s="670">
        <v>3897</v>
      </c>
    </row>
    <row r="15" spans="1:6" ht="30" customHeight="1" thickBot="1">
      <c r="A15" s="625">
        <v>10</v>
      </c>
      <c r="B15" s="330">
        <v>758</v>
      </c>
      <c r="C15" s="330">
        <v>75818</v>
      </c>
      <c r="D15" s="330"/>
      <c r="E15" s="330" t="s">
        <v>782</v>
      </c>
      <c r="F15" s="671">
        <v>4647</v>
      </c>
    </row>
    <row r="16" spans="1:6" ht="19.5" customHeight="1" thickBot="1">
      <c r="A16" s="1401" t="s">
        <v>128</v>
      </c>
      <c r="B16" s="1402"/>
      <c r="C16" s="1402"/>
      <c r="D16" s="1402"/>
      <c r="E16" s="1402"/>
      <c r="F16" s="667">
        <f>SUM(F6:F15)</f>
        <v>34442</v>
      </c>
    </row>
    <row r="17" ht="12.75">
      <c r="F17" s="619">
        <f>F16-40000</f>
        <v>-5558</v>
      </c>
    </row>
    <row r="18" ht="12.75">
      <c r="A18" s="27" t="s">
        <v>138</v>
      </c>
    </row>
  </sheetData>
  <mergeCells count="2">
    <mergeCell ref="A2:F2"/>
    <mergeCell ref="A16:E16"/>
  </mergeCells>
  <printOptions horizontalCentered="1"/>
  <pageMargins left="1.01" right="0.39" top="1.08" bottom="0.69" header="0.5118110236220472" footer="0.5118110236220472"/>
  <pageSetup horizontalDpi="600" verticalDpi="600" orientation="portrait" paperSize="9" scale="95" r:id="rId1"/>
  <headerFooter alignWithMargins="0">
    <oddFooter>&amp;CStrona &amp;P z &amp;N</oddFooter>
  </headerFooter>
  <colBreaks count="1" manualBreakCount="1">
    <brk id="6" max="6553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M72"/>
  <sheetViews>
    <sheetView zoomScale="70" zoomScaleNormal="70" workbookViewId="0" topLeftCell="A1">
      <pane xSplit="2" ySplit="5" topLeftCell="D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3" sqref="A3"/>
    </sheetView>
  </sheetViews>
  <sheetFormatPr defaultColWidth="9.00390625" defaultRowHeight="12.75"/>
  <cols>
    <col min="1" max="1" width="3.875" style="336" customWidth="1"/>
    <col min="2" max="2" width="65.75390625" style="338" customWidth="1"/>
    <col min="3" max="3" width="15.75390625" style="338" hidden="1" customWidth="1"/>
    <col min="4" max="4" width="15.75390625" style="338" customWidth="1"/>
    <col min="5" max="5" width="16.125" style="338" customWidth="1"/>
    <col min="6" max="6" width="15.75390625" style="338" customWidth="1"/>
    <col min="7" max="7" width="16.375" style="338" customWidth="1"/>
    <col min="8" max="13" width="15.75390625" style="338" customWidth="1"/>
    <col min="14" max="16384" width="9.125" style="338" customWidth="1"/>
  </cols>
  <sheetData>
    <row r="1" ht="17.25" customHeight="1">
      <c r="B1" s="337" t="s">
        <v>812</v>
      </c>
    </row>
    <row r="2" spans="2:13" ht="39.75" customHeight="1">
      <c r="B2" s="1462" t="s">
        <v>830</v>
      </c>
      <c r="C2" s="1462"/>
      <c r="D2" s="1462"/>
      <c r="E2" s="1462"/>
      <c r="F2" s="1462"/>
      <c r="G2" s="1462"/>
      <c r="H2" s="1462"/>
      <c r="K2" s="339"/>
      <c r="L2" s="339"/>
      <c r="M2" s="339"/>
    </row>
    <row r="3" spans="2:13" ht="14.25" customHeight="1" thickBot="1">
      <c r="B3" s="340"/>
      <c r="C3" s="341"/>
      <c r="E3" s="1030">
        <f>E9-E10-E11+E9-2!E270</f>
        <v>-3423080</v>
      </c>
      <c r="H3" s="340"/>
      <c r="J3" s="342"/>
      <c r="K3" s="342"/>
      <c r="L3" s="342"/>
      <c r="M3" s="342" t="s">
        <v>813</v>
      </c>
    </row>
    <row r="4" spans="1:13" ht="44.25" customHeight="1" thickBot="1">
      <c r="A4" s="343" t="s">
        <v>112</v>
      </c>
      <c r="B4" s="344" t="s">
        <v>50</v>
      </c>
      <c r="C4" s="1036" t="s">
        <v>814</v>
      </c>
      <c r="D4" s="1037" t="s">
        <v>814</v>
      </c>
      <c r="E4" s="1470" t="s">
        <v>815</v>
      </c>
      <c r="F4" s="1470"/>
      <c r="G4" s="1470"/>
      <c r="H4" s="1470"/>
      <c r="I4" s="1470"/>
      <c r="J4" s="1470"/>
      <c r="K4" s="1470"/>
      <c r="L4" s="1470"/>
      <c r="M4" s="1471"/>
    </row>
    <row r="5" spans="1:13" ht="24.75" customHeight="1" thickBot="1">
      <c r="A5" s="345"/>
      <c r="B5" s="346"/>
      <c r="C5" s="347" t="s">
        <v>816</v>
      </c>
      <c r="D5" s="347" t="s">
        <v>817</v>
      </c>
      <c r="E5" s="347" t="s">
        <v>110</v>
      </c>
      <c r="F5" s="347" t="s">
        <v>111</v>
      </c>
      <c r="G5" s="347" t="s">
        <v>143</v>
      </c>
      <c r="H5" s="347" t="s">
        <v>42</v>
      </c>
      <c r="I5" s="347" t="s">
        <v>43</v>
      </c>
      <c r="J5" s="347" t="s">
        <v>44</v>
      </c>
      <c r="K5" s="347" t="s">
        <v>45</v>
      </c>
      <c r="L5" s="347" t="s">
        <v>46</v>
      </c>
      <c r="M5" s="347" t="s">
        <v>47</v>
      </c>
    </row>
    <row r="6" spans="1:13" s="350" customFormat="1" ht="32.25" customHeight="1" thickBot="1">
      <c r="A6" s="348">
        <v>1</v>
      </c>
      <c r="B6" s="1038" t="s">
        <v>818</v>
      </c>
      <c r="C6" s="349">
        <f>C7+C8</f>
        <v>8276003</v>
      </c>
      <c r="D6" s="349">
        <f aca="true" t="shared" si="0" ref="D6:M6">D7+D8</f>
        <v>9995081</v>
      </c>
      <c r="E6" s="349">
        <f t="shared" si="0"/>
        <v>11024724</v>
      </c>
      <c r="F6" s="349">
        <f t="shared" si="0"/>
        <v>10726407</v>
      </c>
      <c r="G6" s="349">
        <f t="shared" si="0"/>
        <v>12150000</v>
      </c>
      <c r="H6" s="349">
        <f t="shared" si="0"/>
        <v>12744345</v>
      </c>
      <c r="I6" s="349">
        <f t="shared" si="0"/>
        <v>11900000</v>
      </c>
      <c r="J6" s="349">
        <f t="shared" si="0"/>
        <v>10950944</v>
      </c>
      <c r="K6" s="349">
        <f t="shared" si="0"/>
        <v>11160944</v>
      </c>
      <c r="L6" s="349">
        <f t="shared" si="0"/>
        <v>11381944</v>
      </c>
      <c r="M6" s="349">
        <f t="shared" si="0"/>
        <v>11500007</v>
      </c>
    </row>
    <row r="7" spans="1:13" s="350" customFormat="1" ht="16.5">
      <c r="A7" s="351">
        <v>2</v>
      </c>
      <c r="B7" s="1039" t="s">
        <v>819</v>
      </c>
      <c r="C7" s="1468">
        <v>8276003</v>
      </c>
      <c r="D7" s="1468">
        <v>9995081</v>
      </c>
      <c r="E7" s="352">
        <v>9434614</v>
      </c>
      <c r="F7" s="352">
        <f>1!F131</f>
        <v>9853207</v>
      </c>
      <c r="G7" s="352">
        <v>9950000</v>
      </c>
      <c r="H7" s="352">
        <v>10234345</v>
      </c>
      <c r="I7" s="352">
        <v>10300000</v>
      </c>
      <c r="J7" s="352">
        <v>10450944</v>
      </c>
      <c r="K7" s="352">
        <v>10660944</v>
      </c>
      <c r="L7" s="352">
        <v>10871944</v>
      </c>
      <c r="M7" s="352">
        <v>11000007</v>
      </c>
    </row>
    <row r="8" spans="1:13" s="350" customFormat="1" ht="17.25" thickBot="1">
      <c r="A8" s="354">
        <v>3</v>
      </c>
      <c r="B8" s="1040" t="s">
        <v>820</v>
      </c>
      <c r="C8" s="1469"/>
      <c r="D8" s="1469"/>
      <c r="E8" s="357">
        <v>1590110</v>
      </c>
      <c r="F8" s="352">
        <f>1!G131</f>
        <v>873200</v>
      </c>
      <c r="G8" s="352">
        <v>2200000</v>
      </c>
      <c r="H8" s="352">
        <v>2510000</v>
      </c>
      <c r="I8" s="352">
        <v>1600000</v>
      </c>
      <c r="J8" s="352">
        <v>500000</v>
      </c>
      <c r="K8" s="352">
        <v>500000</v>
      </c>
      <c r="L8" s="352">
        <f>(K8*2%)+K8</f>
        <v>510000</v>
      </c>
      <c r="M8" s="352">
        <v>500000</v>
      </c>
    </row>
    <row r="9" spans="1:13" s="350" customFormat="1" ht="32.25" customHeight="1" thickBot="1">
      <c r="A9" s="348">
        <v>4</v>
      </c>
      <c r="B9" s="1038" t="s">
        <v>821</v>
      </c>
      <c r="C9" s="349">
        <f>C10+C11</f>
        <v>8806033</v>
      </c>
      <c r="D9" s="349">
        <f aca="true" t="shared" si="1" ref="D9:M9">D10+D11</f>
        <v>10907705</v>
      </c>
      <c r="E9" s="349">
        <f t="shared" si="1"/>
        <v>10369427</v>
      </c>
      <c r="F9" s="349">
        <f t="shared" si="1"/>
        <v>13792507</v>
      </c>
      <c r="G9" s="349">
        <f t="shared" si="1"/>
        <v>11531667</v>
      </c>
      <c r="H9" s="349">
        <f t="shared" si="1"/>
        <v>11490000</v>
      </c>
      <c r="I9" s="349">
        <f t="shared" si="1"/>
        <v>11220739</v>
      </c>
      <c r="J9" s="349">
        <f t="shared" si="1"/>
        <v>10697000</v>
      </c>
      <c r="K9" s="349">
        <f t="shared" si="1"/>
        <v>10907000</v>
      </c>
      <c r="L9" s="349">
        <f t="shared" si="1"/>
        <v>11128000</v>
      </c>
      <c r="M9" s="349">
        <f t="shared" si="1"/>
        <v>11302000</v>
      </c>
    </row>
    <row r="10" spans="1:13" s="360" customFormat="1" ht="15">
      <c r="A10" s="358">
        <v>5</v>
      </c>
      <c r="B10" s="1039" t="s">
        <v>822</v>
      </c>
      <c r="C10" s="359">
        <v>8104141</v>
      </c>
      <c r="D10" s="353">
        <v>8033369</v>
      </c>
      <c r="E10" s="352">
        <v>9043621</v>
      </c>
      <c r="F10" s="352">
        <f>2!F270</f>
        <v>9578782</v>
      </c>
      <c r="G10" s="352">
        <v>9769667</v>
      </c>
      <c r="H10" s="352">
        <v>9800000</v>
      </c>
      <c r="I10" s="352">
        <f>(H10*2%)+H10-61+1000</f>
        <v>9996939</v>
      </c>
      <c r="J10" s="352">
        <v>10100000</v>
      </c>
      <c r="K10" s="352">
        <f>(J10*2%)+J10</f>
        <v>10302000</v>
      </c>
      <c r="L10" s="352">
        <v>10508000</v>
      </c>
      <c r="M10" s="352">
        <v>10719000</v>
      </c>
    </row>
    <row r="11" spans="1:13" s="360" customFormat="1" ht="15.75" thickBot="1">
      <c r="A11" s="354">
        <v>6</v>
      </c>
      <c r="B11" s="1040" t="s">
        <v>823</v>
      </c>
      <c r="C11" s="355">
        <v>701892</v>
      </c>
      <c r="D11" s="356">
        <v>2874336</v>
      </c>
      <c r="E11" s="357">
        <v>1325806</v>
      </c>
      <c r="F11" s="352">
        <f>2!L270</f>
        <v>4213725</v>
      </c>
      <c r="G11" s="352">
        <v>1762000</v>
      </c>
      <c r="H11" s="352">
        <v>1690000</v>
      </c>
      <c r="I11" s="352">
        <f>(H11*2%)+H11-500000</f>
        <v>1223800</v>
      </c>
      <c r="J11" s="352">
        <v>597000</v>
      </c>
      <c r="K11" s="352">
        <v>605000</v>
      </c>
      <c r="L11" s="352">
        <v>620000</v>
      </c>
      <c r="M11" s="352">
        <v>583000</v>
      </c>
    </row>
    <row r="12" spans="1:13" s="360" customFormat="1" ht="17.25" thickBot="1">
      <c r="A12" s="361">
        <v>7</v>
      </c>
      <c r="B12" s="1041" t="s">
        <v>824</v>
      </c>
      <c r="C12" s="362">
        <f>C6-C9</f>
        <v>-530030</v>
      </c>
      <c r="D12" s="362">
        <f aca="true" t="shared" si="2" ref="D12:M12">D6-D9</f>
        <v>-912624</v>
      </c>
      <c r="E12" s="362">
        <f t="shared" si="2"/>
        <v>655297</v>
      </c>
      <c r="F12" s="362">
        <f t="shared" si="2"/>
        <v>-3066100</v>
      </c>
      <c r="G12" s="362">
        <f t="shared" si="2"/>
        <v>618333</v>
      </c>
      <c r="H12" s="362">
        <f t="shared" si="2"/>
        <v>1254345</v>
      </c>
      <c r="I12" s="362">
        <f t="shared" si="2"/>
        <v>679261</v>
      </c>
      <c r="J12" s="362">
        <f t="shared" si="2"/>
        <v>253944</v>
      </c>
      <c r="K12" s="362">
        <f t="shared" si="2"/>
        <v>253944</v>
      </c>
      <c r="L12" s="362">
        <f t="shared" si="2"/>
        <v>253944</v>
      </c>
      <c r="M12" s="362">
        <f t="shared" si="2"/>
        <v>198007</v>
      </c>
    </row>
    <row r="13" spans="1:13" s="360" customFormat="1" ht="17.25" thickBot="1">
      <c r="A13" s="361">
        <v>8</v>
      </c>
      <c r="B13" s="1041" t="s">
        <v>825</v>
      </c>
      <c r="C13" s="363">
        <f>C14-C28</f>
        <v>543476</v>
      </c>
      <c r="D13" s="363">
        <f aca="true" t="shared" si="3" ref="D13:M13">D14-D28</f>
        <v>1387685</v>
      </c>
      <c r="E13" s="363">
        <f t="shared" si="3"/>
        <v>-55297</v>
      </c>
      <c r="F13" s="363">
        <f t="shared" si="3"/>
        <v>3066100</v>
      </c>
      <c r="G13" s="363">
        <f t="shared" si="3"/>
        <v>-618333</v>
      </c>
      <c r="H13" s="363">
        <f t="shared" si="3"/>
        <v>-1254345</v>
      </c>
      <c r="I13" s="363">
        <f t="shared" si="3"/>
        <v>-679261</v>
      </c>
      <c r="J13" s="363">
        <f t="shared" si="3"/>
        <v>-253944</v>
      </c>
      <c r="K13" s="363">
        <f t="shared" si="3"/>
        <v>-253944</v>
      </c>
      <c r="L13" s="363">
        <f t="shared" si="3"/>
        <v>-253944</v>
      </c>
      <c r="M13" s="363">
        <f t="shared" si="3"/>
        <v>-198007</v>
      </c>
    </row>
    <row r="14" spans="1:13" s="360" customFormat="1" ht="32.25" customHeight="1" thickBot="1">
      <c r="A14" s="348">
        <v>9</v>
      </c>
      <c r="B14" s="1042" t="s">
        <v>826</v>
      </c>
      <c r="C14" s="364">
        <f>C15+C17+C20+C21+C23+C25+C26</f>
        <v>792438</v>
      </c>
      <c r="D14" s="364">
        <f aca="true" t="shared" si="4" ref="D14:M14">D15+D17+D20+D21+D23+D25+D26</f>
        <v>2317122</v>
      </c>
      <c r="E14" s="364">
        <f t="shared" si="4"/>
        <v>753522</v>
      </c>
      <c r="F14" s="364">
        <f t="shared" si="4"/>
        <v>3283068</v>
      </c>
      <c r="G14" s="364">
        <f t="shared" si="4"/>
        <v>784550</v>
      </c>
      <c r="H14" s="364">
        <f t="shared" si="4"/>
        <v>132600</v>
      </c>
      <c r="I14" s="364">
        <f t="shared" si="4"/>
        <v>0</v>
      </c>
      <c r="J14" s="364">
        <f t="shared" si="4"/>
        <v>0</v>
      </c>
      <c r="K14" s="364">
        <f t="shared" si="4"/>
        <v>0</v>
      </c>
      <c r="L14" s="364">
        <f t="shared" si="4"/>
        <v>0</v>
      </c>
      <c r="M14" s="364">
        <f t="shared" si="4"/>
        <v>0</v>
      </c>
    </row>
    <row r="15" spans="1:13" s="360" customFormat="1" ht="31.5">
      <c r="A15" s="358">
        <v>10</v>
      </c>
      <c r="B15" s="1043" t="s">
        <v>827</v>
      </c>
      <c r="C15" s="365">
        <v>63100</v>
      </c>
      <c r="D15" s="366">
        <v>890370</v>
      </c>
      <c r="E15" s="367">
        <v>188462</v>
      </c>
      <c r="F15" s="367">
        <f>1072200+1031900</f>
        <v>2104100</v>
      </c>
      <c r="G15" s="367">
        <v>784550</v>
      </c>
      <c r="H15" s="365">
        <v>132600</v>
      </c>
      <c r="I15" s="366"/>
      <c r="J15" s="367"/>
      <c r="K15" s="367"/>
      <c r="L15" s="367"/>
      <c r="M15" s="367"/>
    </row>
    <row r="16" spans="1:13" s="360" customFormat="1" ht="25.5">
      <c r="A16" s="358">
        <v>11</v>
      </c>
      <c r="B16" s="1044" t="s">
        <v>828</v>
      </c>
      <c r="C16" s="368"/>
      <c r="D16" s="366"/>
      <c r="E16" s="367"/>
      <c r="F16" s="367"/>
      <c r="G16" s="367"/>
      <c r="H16" s="368"/>
      <c r="I16" s="366"/>
      <c r="J16" s="367"/>
      <c r="K16" s="367"/>
      <c r="L16" s="367"/>
      <c r="M16" s="367"/>
    </row>
    <row r="17" spans="1:13" s="360" customFormat="1" ht="31.5">
      <c r="A17" s="358">
        <v>12</v>
      </c>
      <c r="B17" s="1045" t="s">
        <v>829</v>
      </c>
      <c r="C17" s="368">
        <f>C18</f>
        <v>286213</v>
      </c>
      <c r="D17" s="368">
        <f aca="true" t="shared" si="5" ref="D17:M17">D18</f>
        <v>1286752</v>
      </c>
      <c r="E17" s="368">
        <f t="shared" si="5"/>
        <v>0</v>
      </c>
      <c r="F17" s="368">
        <f t="shared" si="5"/>
        <v>538968</v>
      </c>
      <c r="G17" s="368">
        <f t="shared" si="5"/>
        <v>0</v>
      </c>
      <c r="H17" s="368">
        <f t="shared" si="5"/>
        <v>0</v>
      </c>
      <c r="I17" s="368">
        <f t="shared" si="5"/>
        <v>0</v>
      </c>
      <c r="J17" s="368">
        <f t="shared" si="5"/>
        <v>0</v>
      </c>
      <c r="K17" s="368">
        <f t="shared" si="5"/>
        <v>0</v>
      </c>
      <c r="L17" s="368">
        <f t="shared" si="5"/>
        <v>0</v>
      </c>
      <c r="M17" s="368">
        <f t="shared" si="5"/>
        <v>0</v>
      </c>
    </row>
    <row r="18" spans="1:13" s="360" customFormat="1" ht="25.5">
      <c r="A18" s="358">
        <v>13</v>
      </c>
      <c r="B18" s="1044" t="s">
        <v>833</v>
      </c>
      <c r="C18" s="368">
        <v>286213</v>
      </c>
      <c r="D18" s="366">
        <v>1286752</v>
      </c>
      <c r="E18" s="367">
        <v>0</v>
      </c>
      <c r="F18" s="367">
        <f>F19</f>
        <v>538968</v>
      </c>
      <c r="G18" s="367"/>
      <c r="H18" s="368"/>
      <c r="I18" s="366"/>
      <c r="J18" s="367"/>
      <c r="K18" s="367"/>
      <c r="L18" s="367"/>
      <c r="M18" s="367"/>
    </row>
    <row r="19" spans="1:13" s="360" customFormat="1" ht="38.25">
      <c r="A19" s="358">
        <v>14</v>
      </c>
      <c r="B19" s="1044" t="s">
        <v>834</v>
      </c>
      <c r="C19" s="368">
        <v>286213</v>
      </c>
      <c r="D19" s="366">
        <v>1286752</v>
      </c>
      <c r="E19" s="367">
        <v>0</v>
      </c>
      <c r="F19" s="367">
        <f>1570868-1031900</f>
        <v>538968</v>
      </c>
      <c r="G19" s="367"/>
      <c r="H19" s="368"/>
      <c r="I19" s="366"/>
      <c r="J19" s="367"/>
      <c r="K19" s="367"/>
      <c r="L19" s="367"/>
      <c r="M19" s="367"/>
    </row>
    <row r="20" spans="1:13" s="360" customFormat="1" ht="15.75">
      <c r="A20" s="358">
        <v>15</v>
      </c>
      <c r="B20" s="1046" t="s">
        <v>835</v>
      </c>
      <c r="C20" s="365"/>
      <c r="D20" s="366">
        <v>140000</v>
      </c>
      <c r="E20" s="367">
        <v>90000</v>
      </c>
      <c r="F20" s="367">
        <v>40000</v>
      </c>
      <c r="G20" s="367"/>
      <c r="H20" s="365"/>
      <c r="I20" s="366"/>
      <c r="J20" s="367"/>
      <c r="K20" s="367"/>
      <c r="L20" s="367"/>
      <c r="M20" s="367"/>
    </row>
    <row r="21" spans="1:13" s="360" customFormat="1" ht="31.5">
      <c r="A21" s="358">
        <v>16</v>
      </c>
      <c r="B21" s="1046" t="s">
        <v>836</v>
      </c>
      <c r="C21" s="365">
        <v>443125</v>
      </c>
      <c r="D21" s="366"/>
      <c r="E21" s="367"/>
      <c r="F21" s="367"/>
      <c r="G21" s="367"/>
      <c r="H21" s="365"/>
      <c r="I21" s="366"/>
      <c r="J21" s="367"/>
      <c r="K21" s="367"/>
      <c r="L21" s="367"/>
      <c r="M21" s="367"/>
    </row>
    <row r="22" spans="1:13" s="360" customFormat="1" ht="15">
      <c r="A22" s="358">
        <v>17</v>
      </c>
      <c r="B22" s="1044" t="s">
        <v>838</v>
      </c>
      <c r="C22" s="368">
        <v>443125</v>
      </c>
      <c r="D22" s="366"/>
      <c r="E22" s="367"/>
      <c r="F22" s="367"/>
      <c r="G22" s="367"/>
      <c r="H22" s="368"/>
      <c r="I22" s="366"/>
      <c r="J22" s="367"/>
      <c r="K22" s="367"/>
      <c r="L22" s="367"/>
      <c r="M22" s="367"/>
    </row>
    <row r="23" spans="1:13" s="360" customFormat="1" ht="47.25">
      <c r="A23" s="358">
        <v>18</v>
      </c>
      <c r="B23" s="1043" t="s">
        <v>841</v>
      </c>
      <c r="C23" s="368"/>
      <c r="D23" s="366"/>
      <c r="E23" s="367"/>
      <c r="F23" s="367"/>
      <c r="G23" s="367"/>
      <c r="H23" s="368"/>
      <c r="I23" s="366"/>
      <c r="J23" s="367"/>
      <c r="K23" s="367"/>
      <c r="L23" s="367"/>
      <c r="M23" s="367"/>
    </row>
    <row r="24" spans="1:13" s="360" customFormat="1" ht="25.5">
      <c r="A24" s="358">
        <v>19</v>
      </c>
      <c r="B24" s="1044" t="s">
        <v>842</v>
      </c>
      <c r="C24" s="368"/>
      <c r="D24" s="366"/>
      <c r="E24" s="367"/>
      <c r="F24" s="367"/>
      <c r="G24" s="367"/>
      <c r="H24" s="368"/>
      <c r="I24" s="366"/>
      <c r="J24" s="367"/>
      <c r="K24" s="367"/>
      <c r="L24" s="367"/>
      <c r="M24" s="367"/>
    </row>
    <row r="25" spans="1:13" s="360" customFormat="1" ht="15.75">
      <c r="A25" s="358">
        <v>20</v>
      </c>
      <c r="B25" s="1043" t="s">
        <v>843</v>
      </c>
      <c r="C25" s="368"/>
      <c r="D25" s="366"/>
      <c r="E25" s="367"/>
      <c r="F25" s="367"/>
      <c r="G25" s="367"/>
      <c r="H25" s="368"/>
      <c r="I25" s="366"/>
      <c r="J25" s="367"/>
      <c r="K25" s="367"/>
      <c r="L25" s="367"/>
      <c r="M25" s="367"/>
    </row>
    <row r="26" spans="1:13" s="360" customFormat="1" ht="31.5">
      <c r="A26" s="358">
        <v>21</v>
      </c>
      <c r="B26" s="1043" t="s">
        <v>844</v>
      </c>
      <c r="C26" s="368"/>
      <c r="D26" s="366"/>
      <c r="E26" s="367">
        <v>475060</v>
      </c>
      <c r="F26" s="367">
        <v>600000</v>
      </c>
      <c r="G26" s="367"/>
      <c r="H26" s="368"/>
      <c r="I26" s="366"/>
      <c r="J26" s="367"/>
      <c r="K26" s="367"/>
      <c r="L26" s="367"/>
      <c r="M26" s="367"/>
    </row>
    <row r="27" spans="1:13" s="360" customFormat="1" ht="15.75" thickBot="1">
      <c r="A27" s="354">
        <v>22</v>
      </c>
      <c r="B27" s="1044" t="s">
        <v>845</v>
      </c>
      <c r="C27" s="369"/>
      <c r="D27" s="356"/>
      <c r="E27" s="357"/>
      <c r="F27" s="357"/>
      <c r="G27" s="357"/>
      <c r="H27" s="369"/>
      <c r="I27" s="356"/>
      <c r="J27" s="357"/>
      <c r="K27" s="357"/>
      <c r="L27" s="357"/>
      <c r="M27" s="357"/>
    </row>
    <row r="28" spans="1:13" s="360" customFormat="1" ht="33.75" thickBot="1">
      <c r="A28" s="348">
        <v>23</v>
      </c>
      <c r="B28" s="1042" t="s">
        <v>846</v>
      </c>
      <c r="C28" s="364">
        <f>C29+C31+C34+C35+C36+C38+C39</f>
        <v>248962</v>
      </c>
      <c r="D28" s="364">
        <f aca="true" t="shared" si="6" ref="D28:M28">D29+D31+D34+D35+D36+D38+D39</f>
        <v>929437</v>
      </c>
      <c r="E28" s="364">
        <f t="shared" si="6"/>
        <v>808819</v>
      </c>
      <c r="F28" s="364">
        <f t="shared" si="6"/>
        <v>216968</v>
      </c>
      <c r="G28" s="364">
        <f t="shared" si="6"/>
        <v>1402883</v>
      </c>
      <c r="H28" s="364">
        <f t="shared" si="6"/>
        <v>1386945</v>
      </c>
      <c r="I28" s="364">
        <f t="shared" si="6"/>
        <v>679261</v>
      </c>
      <c r="J28" s="364">
        <f t="shared" si="6"/>
        <v>253944</v>
      </c>
      <c r="K28" s="364">
        <f t="shared" si="6"/>
        <v>253944</v>
      </c>
      <c r="L28" s="364">
        <f t="shared" si="6"/>
        <v>253944</v>
      </c>
      <c r="M28" s="364">
        <f t="shared" si="6"/>
        <v>198007</v>
      </c>
    </row>
    <row r="29" spans="1:13" s="360" customFormat="1" ht="31.5">
      <c r="A29" s="351">
        <v>24</v>
      </c>
      <c r="B29" s="1043" t="s">
        <v>847</v>
      </c>
      <c r="C29" s="365">
        <v>48000</v>
      </c>
      <c r="D29" s="366">
        <v>43990</v>
      </c>
      <c r="E29" s="367">
        <v>92264</v>
      </c>
      <c r="F29" s="367">
        <v>176968</v>
      </c>
      <c r="G29" s="367">
        <v>863915</v>
      </c>
      <c r="H29" s="365">
        <v>1386945</v>
      </c>
      <c r="I29" s="366">
        <v>679261</v>
      </c>
      <c r="J29" s="367">
        <v>253944</v>
      </c>
      <c r="K29" s="367">
        <v>253944</v>
      </c>
      <c r="L29" s="367">
        <v>253944</v>
      </c>
      <c r="M29" s="367">
        <v>198007</v>
      </c>
    </row>
    <row r="30" spans="1:13" s="360" customFormat="1" ht="25.5">
      <c r="A30" s="354">
        <v>25</v>
      </c>
      <c r="B30" s="1044" t="s">
        <v>848</v>
      </c>
      <c r="C30" s="368"/>
      <c r="D30" s="366"/>
      <c r="E30" s="367"/>
      <c r="F30" s="367"/>
      <c r="G30" s="367"/>
      <c r="H30" s="368"/>
      <c r="I30" s="366"/>
      <c r="J30" s="367"/>
      <c r="K30" s="367"/>
      <c r="L30" s="367"/>
      <c r="M30" s="367"/>
    </row>
    <row r="31" spans="1:13" s="350" customFormat="1" ht="31.5">
      <c r="A31" s="370">
        <v>26</v>
      </c>
      <c r="B31" s="1047" t="s">
        <v>849</v>
      </c>
      <c r="C31" s="368">
        <f>C32</f>
        <v>80962</v>
      </c>
      <c r="D31" s="368">
        <f aca="true" t="shared" si="7" ref="D31:M31">D32</f>
        <v>815447</v>
      </c>
      <c r="E31" s="368">
        <f t="shared" si="7"/>
        <v>676555</v>
      </c>
      <c r="F31" s="368">
        <f t="shared" si="7"/>
        <v>0</v>
      </c>
      <c r="G31" s="368">
        <f t="shared" si="7"/>
        <v>538968</v>
      </c>
      <c r="H31" s="368">
        <f t="shared" si="7"/>
        <v>0</v>
      </c>
      <c r="I31" s="368">
        <f t="shared" si="7"/>
        <v>0</v>
      </c>
      <c r="J31" s="368">
        <f t="shared" si="7"/>
        <v>0</v>
      </c>
      <c r="K31" s="368">
        <f t="shared" si="7"/>
        <v>0</v>
      </c>
      <c r="L31" s="368">
        <f t="shared" si="7"/>
        <v>0</v>
      </c>
      <c r="M31" s="368">
        <f t="shared" si="7"/>
        <v>0</v>
      </c>
    </row>
    <row r="32" spans="1:13" s="350" customFormat="1" ht="25.5">
      <c r="A32" s="351">
        <v>27</v>
      </c>
      <c r="B32" s="1044" t="s">
        <v>848</v>
      </c>
      <c r="C32" s="368">
        <v>80962</v>
      </c>
      <c r="D32" s="366">
        <v>815447</v>
      </c>
      <c r="E32" s="367">
        <v>676555</v>
      </c>
      <c r="F32" s="367"/>
      <c r="G32" s="367">
        <v>538968</v>
      </c>
      <c r="H32" s="368"/>
      <c r="I32" s="366"/>
      <c r="J32" s="367"/>
      <c r="K32" s="367"/>
      <c r="L32" s="367"/>
      <c r="M32" s="367"/>
    </row>
    <row r="33" spans="1:13" s="350" customFormat="1" ht="38.25">
      <c r="A33" s="351">
        <v>28</v>
      </c>
      <c r="B33" s="371" t="s">
        <v>869</v>
      </c>
      <c r="C33" s="368">
        <v>80962</v>
      </c>
      <c r="D33" s="366">
        <v>815447</v>
      </c>
      <c r="E33" s="367">
        <v>676555</v>
      </c>
      <c r="F33" s="367"/>
      <c r="G33" s="367">
        <v>538968</v>
      </c>
      <c r="H33" s="368"/>
      <c r="I33" s="366"/>
      <c r="J33" s="367"/>
      <c r="K33" s="367"/>
      <c r="L33" s="367"/>
      <c r="M33" s="367"/>
    </row>
    <row r="34" spans="1:13" s="360" customFormat="1" ht="15.75">
      <c r="A34" s="351">
        <v>29</v>
      </c>
      <c r="B34" s="1046" t="s">
        <v>870</v>
      </c>
      <c r="C34" s="365">
        <v>120000</v>
      </c>
      <c r="D34" s="366">
        <v>70000</v>
      </c>
      <c r="E34" s="367">
        <v>40000</v>
      </c>
      <c r="F34" s="367">
        <v>40000</v>
      </c>
      <c r="G34" s="367"/>
      <c r="H34" s="365"/>
      <c r="I34" s="366"/>
      <c r="J34" s="367"/>
      <c r="K34" s="367"/>
      <c r="L34" s="367"/>
      <c r="M34" s="367"/>
    </row>
    <row r="35" spans="1:13" s="360" customFormat="1" ht="15.75">
      <c r="A35" s="358">
        <v>30</v>
      </c>
      <c r="B35" s="1046" t="s">
        <v>871</v>
      </c>
      <c r="C35" s="365"/>
      <c r="D35" s="366"/>
      <c r="E35" s="367"/>
      <c r="F35" s="367"/>
      <c r="G35" s="367"/>
      <c r="H35" s="365"/>
      <c r="I35" s="366"/>
      <c r="J35" s="367"/>
      <c r="K35" s="367"/>
      <c r="L35" s="367"/>
      <c r="M35" s="367"/>
    </row>
    <row r="36" spans="1:13" s="360" customFormat="1" ht="31.5">
      <c r="A36" s="358">
        <v>31</v>
      </c>
      <c r="B36" s="1043" t="s">
        <v>872</v>
      </c>
      <c r="C36" s="365"/>
      <c r="D36" s="366"/>
      <c r="E36" s="367"/>
      <c r="F36" s="367"/>
      <c r="G36" s="367"/>
      <c r="H36" s="365"/>
      <c r="I36" s="366"/>
      <c r="J36" s="367"/>
      <c r="K36" s="367"/>
      <c r="L36" s="367"/>
      <c r="M36" s="367"/>
    </row>
    <row r="37" spans="1:13" s="360" customFormat="1" ht="25.5">
      <c r="A37" s="358">
        <v>32</v>
      </c>
      <c r="B37" s="1044" t="s">
        <v>873</v>
      </c>
      <c r="C37" s="368"/>
      <c r="D37" s="366"/>
      <c r="E37" s="367"/>
      <c r="F37" s="367"/>
      <c r="G37" s="367"/>
      <c r="H37" s="368"/>
      <c r="I37" s="366"/>
      <c r="J37" s="367"/>
      <c r="K37" s="367"/>
      <c r="L37" s="367"/>
      <c r="M37" s="367"/>
    </row>
    <row r="38" spans="1:13" s="360" customFormat="1" ht="15.75">
      <c r="A38" s="358">
        <v>33</v>
      </c>
      <c r="B38" s="1043" t="s">
        <v>874</v>
      </c>
      <c r="C38" s="365"/>
      <c r="D38" s="366"/>
      <c r="E38" s="367"/>
      <c r="F38" s="367"/>
      <c r="G38" s="367"/>
      <c r="H38" s="365"/>
      <c r="I38" s="366"/>
      <c r="J38" s="367"/>
      <c r="K38" s="367"/>
      <c r="L38" s="367"/>
      <c r="M38" s="367"/>
    </row>
    <row r="39" spans="1:13" s="360" customFormat="1" ht="17.25" thickBot="1">
      <c r="A39" s="372">
        <v>34</v>
      </c>
      <c r="B39" s="1048" t="s">
        <v>875</v>
      </c>
      <c r="C39" s="373"/>
      <c r="D39" s="374"/>
      <c r="E39" s="373"/>
      <c r="F39" s="373"/>
      <c r="G39" s="373"/>
      <c r="H39" s="373"/>
      <c r="I39" s="374"/>
      <c r="J39" s="373"/>
      <c r="K39" s="373"/>
      <c r="L39" s="373"/>
      <c r="M39" s="373"/>
    </row>
    <row r="40" spans="1:13" s="350" customFormat="1" ht="33.75" thickBot="1">
      <c r="A40" s="348">
        <v>35</v>
      </c>
      <c r="B40" s="1042" t="s">
        <v>876</v>
      </c>
      <c r="C40" s="349">
        <f>C41+C42+C43+C44+C45+C48</f>
        <v>308466</v>
      </c>
      <c r="D40" s="349">
        <f aca="true" t="shared" si="8" ref="D40:M40">D41+D42+D43+D44+D45+D48</f>
        <v>1626309</v>
      </c>
      <c r="E40" s="349">
        <f t="shared" si="8"/>
        <v>1045678</v>
      </c>
      <c r="F40" s="349">
        <f t="shared" si="8"/>
        <v>3511778</v>
      </c>
      <c r="G40" s="349">
        <f t="shared" si="8"/>
        <v>2893445</v>
      </c>
      <c r="H40" s="349">
        <f t="shared" si="8"/>
        <v>1639100</v>
      </c>
      <c r="I40" s="349">
        <f t="shared" si="8"/>
        <v>959839</v>
      </c>
      <c r="J40" s="349">
        <f t="shared" si="8"/>
        <v>705895</v>
      </c>
      <c r="K40" s="349">
        <f t="shared" si="8"/>
        <v>451951</v>
      </c>
      <c r="L40" s="349">
        <f t="shared" si="8"/>
        <v>198007</v>
      </c>
      <c r="M40" s="349">
        <f t="shared" si="8"/>
        <v>0</v>
      </c>
    </row>
    <row r="41" spans="1:13" s="360" customFormat="1" ht="15.75">
      <c r="A41" s="370">
        <v>36</v>
      </c>
      <c r="B41" s="1049" t="s">
        <v>877</v>
      </c>
      <c r="C41" s="367"/>
      <c r="D41" s="366"/>
      <c r="E41" s="367"/>
      <c r="F41" s="367"/>
      <c r="G41" s="367"/>
      <c r="H41" s="367"/>
      <c r="I41" s="366"/>
      <c r="J41" s="367"/>
      <c r="K41" s="367"/>
      <c r="L41" s="367"/>
      <c r="M41" s="367"/>
    </row>
    <row r="42" spans="1:13" s="360" customFormat="1" ht="15.75">
      <c r="A42" s="370">
        <v>37</v>
      </c>
      <c r="B42" s="1049" t="s">
        <v>878</v>
      </c>
      <c r="C42" s="367">
        <v>103100</v>
      </c>
      <c r="D42" s="367">
        <f>C42+D15-D29</f>
        <v>949480</v>
      </c>
      <c r="E42" s="367">
        <f aca="true" t="shared" si="9" ref="E42:M42">D42+E15-E29</f>
        <v>1045678</v>
      </c>
      <c r="F42" s="367">
        <f t="shared" si="9"/>
        <v>2972810</v>
      </c>
      <c r="G42" s="367">
        <f t="shared" si="9"/>
        <v>2893445</v>
      </c>
      <c r="H42" s="367">
        <f t="shared" si="9"/>
        <v>1639100</v>
      </c>
      <c r="I42" s="367">
        <f t="shared" si="9"/>
        <v>959839</v>
      </c>
      <c r="J42" s="367">
        <f t="shared" si="9"/>
        <v>705895</v>
      </c>
      <c r="K42" s="367">
        <f t="shared" si="9"/>
        <v>451951</v>
      </c>
      <c r="L42" s="367">
        <f>K42+L15-L29</f>
        <v>198007</v>
      </c>
      <c r="M42" s="367">
        <f t="shared" si="9"/>
        <v>0</v>
      </c>
    </row>
    <row r="43" spans="1:13" s="360" customFormat="1" ht="15.75">
      <c r="A43" s="370">
        <v>38</v>
      </c>
      <c r="B43" s="1050" t="s">
        <v>879</v>
      </c>
      <c r="C43" s="375"/>
      <c r="D43" s="366"/>
      <c r="E43" s="367"/>
      <c r="F43" s="367"/>
      <c r="G43" s="367"/>
      <c r="H43" s="375"/>
      <c r="I43" s="366"/>
      <c r="J43" s="367"/>
      <c r="K43" s="367"/>
      <c r="L43" s="367"/>
      <c r="M43" s="367"/>
    </row>
    <row r="44" spans="1:13" s="360" customFormat="1" ht="18.75">
      <c r="A44" s="370">
        <v>39</v>
      </c>
      <c r="B44" s="1050" t="s">
        <v>880</v>
      </c>
      <c r="C44" s="375"/>
      <c r="D44" s="366"/>
      <c r="E44" s="367"/>
      <c r="F44" s="367"/>
      <c r="G44" s="367"/>
      <c r="H44" s="375"/>
      <c r="I44" s="366"/>
      <c r="J44" s="367"/>
      <c r="K44" s="367"/>
      <c r="L44" s="367"/>
      <c r="M44" s="367"/>
    </row>
    <row r="45" spans="1:13" s="360" customFormat="1" ht="31.5">
      <c r="A45" s="370">
        <v>40</v>
      </c>
      <c r="B45" s="1051" t="s">
        <v>881</v>
      </c>
      <c r="C45" s="375">
        <f aca="true" t="shared" si="10" ref="C45:M45">C46+C47</f>
        <v>115</v>
      </c>
      <c r="D45" s="375">
        <f t="shared" si="10"/>
        <v>273</v>
      </c>
      <c r="E45" s="375"/>
      <c r="F45" s="375"/>
      <c r="G45" s="375"/>
      <c r="H45" s="375">
        <f t="shared" si="10"/>
        <v>0</v>
      </c>
      <c r="I45" s="375">
        <f t="shared" si="10"/>
        <v>0</v>
      </c>
      <c r="J45" s="375">
        <f t="shared" si="10"/>
        <v>0</v>
      </c>
      <c r="K45" s="375">
        <f t="shared" si="10"/>
        <v>0</v>
      </c>
      <c r="L45" s="375">
        <f t="shared" si="10"/>
        <v>0</v>
      </c>
      <c r="M45" s="375">
        <f t="shared" si="10"/>
        <v>0</v>
      </c>
    </row>
    <row r="46" spans="1:13" s="360" customFormat="1" ht="25.5">
      <c r="A46" s="370">
        <v>41</v>
      </c>
      <c r="B46" s="1052" t="s">
        <v>882</v>
      </c>
      <c r="C46" s="375"/>
      <c r="D46" s="376"/>
      <c r="E46" s="377"/>
      <c r="F46" s="377"/>
      <c r="G46" s="377"/>
      <c r="H46" s="375"/>
      <c r="I46" s="376"/>
      <c r="J46" s="377"/>
      <c r="K46" s="377"/>
      <c r="L46" s="377"/>
      <c r="M46" s="377"/>
    </row>
    <row r="47" spans="1:13" s="360" customFormat="1" ht="25.5">
      <c r="A47" s="370">
        <v>42</v>
      </c>
      <c r="B47" s="1052" t="s">
        <v>883</v>
      </c>
      <c r="C47" s="375">
        <v>115</v>
      </c>
      <c r="D47" s="376">
        <v>273</v>
      </c>
      <c r="E47" s="377"/>
      <c r="F47" s="377"/>
      <c r="G47" s="377"/>
      <c r="H47" s="375"/>
      <c r="I47" s="376"/>
      <c r="J47" s="377"/>
      <c r="K47" s="377"/>
      <c r="L47" s="377"/>
      <c r="M47" s="377"/>
    </row>
    <row r="48" spans="1:13" s="360" customFormat="1" ht="47.25">
      <c r="A48" s="1463">
        <v>43</v>
      </c>
      <c r="B48" s="1053" t="s">
        <v>884</v>
      </c>
      <c r="C48" s="375">
        <f>SUM(C49:C51)</f>
        <v>205251</v>
      </c>
      <c r="D48" s="375">
        <f aca="true" t="shared" si="11" ref="D48:M48">SUM(D49:D51)</f>
        <v>676556</v>
      </c>
      <c r="E48" s="375">
        <f t="shared" si="11"/>
        <v>0</v>
      </c>
      <c r="F48" s="375">
        <f>SUM(F49:F51)</f>
        <v>538968</v>
      </c>
      <c r="G48" s="375">
        <f t="shared" si="11"/>
        <v>0</v>
      </c>
      <c r="H48" s="375">
        <f t="shared" si="11"/>
        <v>0</v>
      </c>
      <c r="I48" s="375">
        <f t="shared" si="11"/>
        <v>0</v>
      </c>
      <c r="J48" s="375">
        <f t="shared" si="11"/>
        <v>0</v>
      </c>
      <c r="K48" s="375">
        <f t="shared" si="11"/>
        <v>0</v>
      </c>
      <c r="L48" s="375">
        <f t="shared" si="11"/>
        <v>0</v>
      </c>
      <c r="M48" s="375">
        <f t="shared" si="11"/>
        <v>0</v>
      </c>
    </row>
    <row r="49" spans="1:13" s="360" customFormat="1" ht="15">
      <c r="A49" s="1464"/>
      <c r="B49" s="1054" t="s">
        <v>885</v>
      </c>
      <c r="C49" s="375"/>
      <c r="D49" s="376"/>
      <c r="E49" s="377"/>
      <c r="F49" s="377"/>
      <c r="G49" s="377"/>
      <c r="H49" s="375"/>
      <c r="I49" s="376"/>
      <c r="J49" s="377"/>
      <c r="K49" s="377"/>
      <c r="L49" s="377"/>
      <c r="M49" s="377"/>
    </row>
    <row r="50" spans="1:13" s="360" customFormat="1" ht="15">
      <c r="A50" s="1464"/>
      <c r="B50" s="1054" t="s">
        <v>886</v>
      </c>
      <c r="C50" s="375">
        <v>205251</v>
      </c>
      <c r="D50" s="377">
        <f>C50+D17-D31</f>
        <v>676556</v>
      </c>
      <c r="E50" s="377">
        <v>0</v>
      </c>
      <c r="F50" s="377">
        <f aca="true" t="shared" si="12" ref="F50:M50">E50+F17-F31</f>
        <v>538968</v>
      </c>
      <c r="G50" s="377">
        <f t="shared" si="12"/>
        <v>0</v>
      </c>
      <c r="H50" s="377">
        <f t="shared" si="12"/>
        <v>0</v>
      </c>
      <c r="I50" s="377">
        <f t="shared" si="12"/>
        <v>0</v>
      </c>
      <c r="J50" s="377">
        <f t="shared" si="12"/>
        <v>0</v>
      </c>
      <c r="K50" s="377">
        <f t="shared" si="12"/>
        <v>0</v>
      </c>
      <c r="L50" s="377">
        <f t="shared" si="12"/>
        <v>0</v>
      </c>
      <c r="M50" s="377">
        <f t="shared" si="12"/>
        <v>0</v>
      </c>
    </row>
    <row r="51" spans="1:13" s="360" customFormat="1" ht="15.75" thickBot="1">
      <c r="A51" s="1464"/>
      <c r="B51" s="1054" t="s">
        <v>887</v>
      </c>
      <c r="C51" s="378"/>
      <c r="D51" s="379"/>
      <c r="E51" s="380"/>
      <c r="F51" s="380"/>
      <c r="G51" s="380"/>
      <c r="H51" s="378"/>
      <c r="I51" s="379"/>
      <c r="J51" s="380"/>
      <c r="K51" s="380"/>
      <c r="L51" s="380"/>
      <c r="M51" s="380"/>
    </row>
    <row r="52" spans="1:13" s="350" customFormat="1" ht="33.75" thickBot="1">
      <c r="A52" s="348">
        <v>44</v>
      </c>
      <c r="B52" s="1042" t="s">
        <v>888</v>
      </c>
      <c r="C52" s="381">
        <f>C40/C6*100</f>
        <v>3.727234028310526</v>
      </c>
      <c r="D52" s="381">
        <f aca="true" t="shared" si="13" ref="D52:M52">D40/D6*100</f>
        <v>16.271093751016124</v>
      </c>
      <c r="E52" s="381">
        <f t="shared" si="13"/>
        <v>9.484845153493184</v>
      </c>
      <c r="F52" s="381">
        <f t="shared" si="13"/>
        <v>32.7395557524528</v>
      </c>
      <c r="G52" s="381">
        <f t="shared" si="13"/>
        <v>23.814362139917694</v>
      </c>
      <c r="H52" s="381">
        <f t="shared" si="13"/>
        <v>12.86139067955238</v>
      </c>
      <c r="I52" s="381">
        <f t="shared" si="13"/>
        <v>8.065873949579833</v>
      </c>
      <c r="J52" s="381">
        <f t="shared" si="13"/>
        <v>6.445973972654777</v>
      </c>
      <c r="K52" s="381">
        <f t="shared" si="13"/>
        <v>4.049397613678556</v>
      </c>
      <c r="L52" s="381">
        <f t="shared" si="13"/>
        <v>1.7396588842819822</v>
      </c>
      <c r="M52" s="381">
        <f t="shared" si="13"/>
        <v>0</v>
      </c>
    </row>
    <row r="53" spans="1:13" s="350" customFormat="1" ht="32.25" thickBot="1">
      <c r="A53" s="382">
        <v>45</v>
      </c>
      <c r="B53" s="1055" t="s">
        <v>889</v>
      </c>
      <c r="C53" s="383">
        <f>(C40-C48)/C6*100</f>
        <v>1.2471600119042974</v>
      </c>
      <c r="D53" s="383">
        <f aca="true" t="shared" si="14" ref="D53:M53">(D40-D48)/D6*100</f>
        <v>9.502204134213619</v>
      </c>
      <c r="E53" s="383">
        <f t="shared" si="14"/>
        <v>9.484845153493184</v>
      </c>
      <c r="F53" s="383">
        <f t="shared" si="14"/>
        <v>27.71487227736184</v>
      </c>
      <c r="G53" s="383">
        <f t="shared" si="14"/>
        <v>23.814362139917694</v>
      </c>
      <c r="H53" s="383">
        <f t="shared" si="14"/>
        <v>12.86139067955238</v>
      </c>
      <c r="I53" s="383">
        <f t="shared" si="14"/>
        <v>8.065873949579833</v>
      </c>
      <c r="J53" s="383">
        <f t="shared" si="14"/>
        <v>6.445973972654777</v>
      </c>
      <c r="K53" s="383">
        <f t="shared" si="14"/>
        <v>4.049397613678556</v>
      </c>
      <c r="L53" s="383">
        <f t="shared" si="14"/>
        <v>1.7396588842819822</v>
      </c>
      <c r="M53" s="383">
        <f t="shared" si="14"/>
        <v>0</v>
      </c>
    </row>
    <row r="54" spans="1:13" s="350" customFormat="1" ht="33.75" thickBot="1">
      <c r="A54" s="348">
        <v>46</v>
      </c>
      <c r="B54" s="1042" t="s">
        <v>890</v>
      </c>
      <c r="C54" s="349">
        <f>C55+C56+C57+C58+C59+C60</f>
        <v>152270</v>
      </c>
      <c r="D54" s="349">
        <f aca="true" t="shared" si="15" ref="D54:M54">D55+D56+D57+D58+D59+D60</f>
        <v>895725</v>
      </c>
      <c r="E54" s="349">
        <f t="shared" si="15"/>
        <v>857820.01423</v>
      </c>
      <c r="F54" s="349">
        <f t="shared" si="15"/>
        <v>316980.18999999994</v>
      </c>
      <c r="G54" s="349">
        <f t="shared" si="15"/>
        <v>1621593.19</v>
      </c>
      <c r="H54" s="349">
        <f t="shared" si="15"/>
        <v>1501682</v>
      </c>
      <c r="I54" s="349">
        <f t="shared" si="15"/>
        <v>746449.73</v>
      </c>
      <c r="J54" s="349">
        <f t="shared" si="15"/>
        <v>299827.175</v>
      </c>
      <c r="K54" s="349">
        <f t="shared" si="15"/>
        <v>281964.962</v>
      </c>
      <c r="L54" s="349">
        <f t="shared" si="15"/>
        <v>265824.42</v>
      </c>
      <c r="M54" s="349">
        <f t="shared" si="15"/>
        <v>206917.315</v>
      </c>
    </row>
    <row r="55" spans="1:13" s="350" customFormat="1" ht="16.5">
      <c r="A55" s="370">
        <v>47</v>
      </c>
      <c r="B55" s="1056" t="s">
        <v>891</v>
      </c>
      <c r="C55" s="375">
        <v>64400</v>
      </c>
      <c r="D55" s="580">
        <v>80278</v>
      </c>
      <c r="E55" s="580">
        <f>E29+(E42*7.5%)+301</f>
        <v>170990.84999999998</v>
      </c>
      <c r="F55" s="580">
        <f>F29+(F42*4.3%)+1402</f>
        <v>306200.82999999996</v>
      </c>
      <c r="G55" s="580">
        <f>G29+(G42*7%)</f>
        <v>1066456.15</v>
      </c>
      <c r="H55" s="580">
        <f>H29+(H42*7%)</f>
        <v>1501682</v>
      </c>
      <c r="I55" s="580">
        <f>I29+(I42*7%)</f>
        <v>746449.73</v>
      </c>
      <c r="J55" s="580">
        <f>J29+(J42*6.5%)</f>
        <v>299827.175</v>
      </c>
      <c r="K55" s="580">
        <f>K29+(K42*6.2%)</f>
        <v>281964.962</v>
      </c>
      <c r="L55" s="580">
        <f>L29+(L42*6%)</f>
        <v>265824.42</v>
      </c>
      <c r="M55" s="580">
        <f>M29+(L42*4.5%)</f>
        <v>206917.315</v>
      </c>
    </row>
    <row r="56" spans="1:13" s="350" customFormat="1" ht="16.5">
      <c r="A56" s="370">
        <v>48</v>
      </c>
      <c r="B56" s="1056" t="s">
        <v>892</v>
      </c>
      <c r="C56" s="375"/>
      <c r="D56" s="384"/>
      <c r="E56" s="375"/>
      <c r="F56" s="375"/>
      <c r="G56" s="375"/>
      <c r="H56" s="375"/>
      <c r="I56" s="384"/>
      <c r="J56" s="375"/>
      <c r="K56" s="375"/>
      <c r="L56" s="375"/>
      <c r="M56" s="375"/>
    </row>
    <row r="57" spans="1:13" s="350" customFormat="1" ht="31.5">
      <c r="A57" s="370">
        <v>49</v>
      </c>
      <c r="B57" s="1057" t="s">
        <v>893</v>
      </c>
      <c r="C57" s="375"/>
      <c r="D57" s="384"/>
      <c r="E57" s="375"/>
      <c r="F57" s="375"/>
      <c r="G57" s="375"/>
      <c r="H57" s="375"/>
      <c r="I57" s="384"/>
      <c r="J57" s="375"/>
      <c r="K57" s="375"/>
      <c r="L57" s="375"/>
      <c r="M57" s="375"/>
    </row>
    <row r="58" spans="1:13" s="350" customFormat="1" ht="47.25">
      <c r="A58" s="370">
        <v>50</v>
      </c>
      <c r="B58" s="1058" t="s">
        <v>919</v>
      </c>
      <c r="C58" s="378"/>
      <c r="D58" s="385"/>
      <c r="E58" s="378"/>
      <c r="F58" s="378"/>
      <c r="G58" s="378"/>
      <c r="H58" s="378"/>
      <c r="I58" s="385"/>
      <c r="J58" s="378"/>
      <c r="K58" s="378"/>
      <c r="L58" s="378"/>
      <c r="M58" s="378"/>
    </row>
    <row r="59" spans="1:13" s="350" customFormat="1" ht="54.75" customHeight="1">
      <c r="A59" s="370">
        <v>51</v>
      </c>
      <c r="B59" s="1057" t="s">
        <v>920</v>
      </c>
      <c r="C59" s="375"/>
      <c r="D59" s="384"/>
      <c r="E59" s="375"/>
      <c r="F59" s="375"/>
      <c r="G59" s="375"/>
      <c r="H59" s="375"/>
      <c r="I59" s="384"/>
      <c r="J59" s="375"/>
      <c r="K59" s="375"/>
      <c r="L59" s="375"/>
      <c r="M59" s="375"/>
    </row>
    <row r="60" spans="1:13" s="350" customFormat="1" ht="47.25">
      <c r="A60" s="1465">
        <v>52</v>
      </c>
      <c r="B60" s="1057" t="s">
        <v>34</v>
      </c>
      <c r="C60" s="375">
        <f>SUM(C61:C64)</f>
        <v>87870</v>
      </c>
      <c r="D60" s="375">
        <f aca="true" t="shared" si="16" ref="D60:M60">SUM(D61:D64)</f>
        <v>815447</v>
      </c>
      <c r="E60" s="375">
        <f t="shared" si="16"/>
        <v>686829.16423</v>
      </c>
      <c r="F60" s="375">
        <f t="shared" si="16"/>
        <v>10779.36</v>
      </c>
      <c r="G60" s="375">
        <f t="shared" si="16"/>
        <v>555137.04</v>
      </c>
      <c r="H60" s="375">
        <f t="shared" si="16"/>
        <v>0</v>
      </c>
      <c r="I60" s="375">
        <f t="shared" si="16"/>
        <v>0</v>
      </c>
      <c r="J60" s="375">
        <f t="shared" si="16"/>
        <v>0</v>
      </c>
      <c r="K60" s="375">
        <f t="shared" si="16"/>
        <v>0</v>
      </c>
      <c r="L60" s="375">
        <f t="shared" si="16"/>
        <v>0</v>
      </c>
      <c r="M60" s="375">
        <f t="shared" si="16"/>
        <v>0</v>
      </c>
    </row>
    <row r="61" spans="1:13" s="350" customFormat="1" ht="16.5">
      <c r="A61" s="1466"/>
      <c r="B61" s="1059" t="s">
        <v>35</v>
      </c>
      <c r="C61" s="375"/>
      <c r="D61" s="384"/>
      <c r="E61" s="375"/>
      <c r="F61" s="375"/>
      <c r="G61" s="375"/>
      <c r="H61" s="375"/>
      <c r="I61" s="384"/>
      <c r="J61" s="375"/>
      <c r="K61" s="375"/>
      <c r="L61" s="375"/>
      <c r="M61" s="375"/>
    </row>
    <row r="62" spans="1:13" s="350" customFormat="1" ht="16.5">
      <c r="A62" s="1466"/>
      <c r="B62" s="1059" t="s">
        <v>36</v>
      </c>
      <c r="C62" s="375">
        <v>87870</v>
      </c>
      <c r="D62" s="375">
        <v>815447</v>
      </c>
      <c r="E62" s="375">
        <f>E$31+E$31*1.5186%</f>
        <v>686829.16423</v>
      </c>
      <c r="F62" s="375">
        <f>F$31+F$48*2%</f>
        <v>10779.36</v>
      </c>
      <c r="G62" s="375">
        <f>G$31+F$48*3%</f>
        <v>555137.04</v>
      </c>
      <c r="H62" s="375">
        <f aca="true" t="shared" si="17" ref="H62:M62">H$31+H$48*4%</f>
        <v>0</v>
      </c>
      <c r="I62" s="375">
        <f t="shared" si="17"/>
        <v>0</v>
      </c>
      <c r="J62" s="375">
        <f t="shared" si="17"/>
        <v>0</v>
      </c>
      <c r="K62" s="375">
        <f t="shared" si="17"/>
        <v>0</v>
      </c>
      <c r="L62" s="375">
        <f t="shared" si="17"/>
        <v>0</v>
      </c>
      <c r="M62" s="375">
        <f t="shared" si="17"/>
        <v>0</v>
      </c>
    </row>
    <row r="63" spans="1:13" s="350" customFormat="1" ht="16.5">
      <c r="A63" s="1466"/>
      <c r="B63" s="1060" t="s">
        <v>37</v>
      </c>
      <c r="C63" s="375"/>
      <c r="D63" s="375"/>
      <c r="E63" s="375"/>
      <c r="F63" s="375"/>
      <c r="G63" s="375"/>
      <c r="H63" s="375"/>
      <c r="I63" s="375"/>
      <c r="J63" s="375"/>
      <c r="K63" s="375"/>
      <c r="L63" s="375"/>
      <c r="M63" s="375"/>
    </row>
    <row r="64" spans="1:13" s="350" customFormat="1" ht="26.25" thickBot="1">
      <c r="A64" s="1467"/>
      <c r="B64" s="386" t="s">
        <v>38</v>
      </c>
      <c r="C64" s="387"/>
      <c r="D64" s="388"/>
      <c r="E64" s="387"/>
      <c r="F64" s="387"/>
      <c r="G64" s="387"/>
      <c r="H64" s="387"/>
      <c r="I64" s="388"/>
      <c r="J64" s="387"/>
      <c r="K64" s="387"/>
      <c r="L64" s="387"/>
      <c r="M64" s="387"/>
    </row>
    <row r="65" spans="1:13" s="350" customFormat="1" ht="33.75" thickBot="1">
      <c r="A65" s="348">
        <v>53</v>
      </c>
      <c r="B65" s="1042" t="s">
        <v>39</v>
      </c>
      <c r="C65" s="381">
        <f>C54/C6*100</f>
        <v>1.8398978347397892</v>
      </c>
      <c r="D65" s="381">
        <f aca="true" t="shared" si="18" ref="D65:M65">D54/D6*100</f>
        <v>8.961658239688102</v>
      </c>
      <c r="E65" s="381">
        <f t="shared" si="18"/>
        <v>7.780875187714449</v>
      </c>
      <c r="F65" s="381">
        <f t="shared" si="18"/>
        <v>2.955138565970879</v>
      </c>
      <c r="G65" s="381">
        <f t="shared" si="18"/>
        <v>13.346446008230453</v>
      </c>
      <c r="H65" s="381">
        <f t="shared" si="18"/>
        <v>11.783124201361467</v>
      </c>
      <c r="I65" s="381">
        <f t="shared" si="18"/>
        <v>6.27268680672269</v>
      </c>
      <c r="J65" s="381">
        <f t="shared" si="18"/>
        <v>2.7379116814039044</v>
      </c>
      <c r="K65" s="381">
        <f t="shared" si="18"/>
        <v>2.526354061090173</v>
      </c>
      <c r="L65" s="381">
        <f t="shared" si="18"/>
        <v>2.335492249830082</v>
      </c>
      <c r="M65" s="381">
        <f t="shared" si="18"/>
        <v>1.7992799047861447</v>
      </c>
    </row>
    <row r="66" spans="1:13" s="350" customFormat="1" ht="33.75" thickBot="1">
      <c r="A66" s="382">
        <v>54</v>
      </c>
      <c r="B66" s="1055" t="s">
        <v>40</v>
      </c>
      <c r="C66" s="383">
        <f>(C54-C60)/C6*100</f>
        <v>0.7781534153624642</v>
      </c>
      <c r="D66" s="383">
        <f aca="true" t="shared" si="19" ref="D66:M66">(D54-D60)/D6*100</f>
        <v>0.8031750818227487</v>
      </c>
      <c r="E66" s="383">
        <f t="shared" si="19"/>
        <v>1.5509762421263333</v>
      </c>
      <c r="F66" s="383">
        <f t="shared" si="19"/>
        <v>2.85464489646906</v>
      </c>
      <c r="G66" s="383">
        <f t="shared" si="19"/>
        <v>8.777416872427983</v>
      </c>
      <c r="H66" s="383">
        <f t="shared" si="19"/>
        <v>11.783124201361467</v>
      </c>
      <c r="I66" s="383">
        <f t="shared" si="19"/>
        <v>6.27268680672269</v>
      </c>
      <c r="J66" s="383">
        <f t="shared" si="19"/>
        <v>2.7379116814039044</v>
      </c>
      <c r="K66" s="383">
        <f t="shared" si="19"/>
        <v>2.526354061090173</v>
      </c>
      <c r="L66" s="383">
        <f t="shared" si="19"/>
        <v>2.335492249830082</v>
      </c>
      <c r="M66" s="383">
        <f t="shared" si="19"/>
        <v>1.7992799047861447</v>
      </c>
    </row>
    <row r="67" spans="2:13" ht="28.5">
      <c r="B67" s="389" t="s">
        <v>41</v>
      </c>
      <c r="C67" s="579"/>
      <c r="D67" s="579"/>
      <c r="E67" s="579"/>
      <c r="F67" s="579"/>
      <c r="G67" s="579"/>
      <c r="H67" s="579"/>
      <c r="I67" s="579"/>
      <c r="J67" s="579"/>
      <c r="K67" s="579"/>
      <c r="L67" s="579"/>
      <c r="M67" s="579"/>
    </row>
    <row r="68" spans="3:13" ht="12.75">
      <c r="C68" s="579"/>
      <c r="D68" s="579"/>
      <c r="E68" s="579"/>
      <c r="F68" s="579"/>
      <c r="G68" s="579"/>
      <c r="H68" s="579"/>
      <c r="I68" s="579"/>
      <c r="J68" s="579"/>
      <c r="K68" s="579"/>
      <c r="L68" s="579"/>
      <c r="M68" s="579"/>
    </row>
    <row r="69" spans="3:13" ht="12.75">
      <c r="C69" s="579"/>
      <c r="D69" s="579"/>
      <c r="E69" s="579"/>
      <c r="F69" s="579"/>
      <c r="G69" s="579"/>
      <c r="H69" s="579"/>
      <c r="I69" s="579"/>
      <c r="J69" s="579"/>
      <c r="K69" s="579"/>
      <c r="L69" s="579"/>
      <c r="M69" s="579"/>
    </row>
    <row r="72" spans="4:5" ht="12.75">
      <c r="D72" s="579"/>
      <c r="E72" s="579"/>
    </row>
  </sheetData>
  <mergeCells count="6">
    <mergeCell ref="B2:H2"/>
    <mergeCell ref="A48:A51"/>
    <mergeCell ref="A60:A64"/>
    <mergeCell ref="C7:C8"/>
    <mergeCell ref="D7:D8"/>
    <mergeCell ref="E4:M4"/>
  </mergeCells>
  <printOptions/>
  <pageMargins left="0.64" right="0.1968503937007874" top="0.11" bottom="0.23" header="0.15748031496062992" footer="0.11"/>
  <pageSetup fitToHeight="2" fitToWidth="1" horizontalDpi="600" verticalDpi="600" orientation="landscape" paperSize="9" scale="59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J296"/>
  <sheetViews>
    <sheetView zoomScale="130" zoomScaleNormal="130" workbookViewId="0" topLeftCell="A1">
      <selection activeCell="E307" sqref="E307"/>
    </sheetView>
  </sheetViews>
  <sheetFormatPr defaultColWidth="9.00390625" defaultRowHeight="12.75"/>
  <cols>
    <col min="1" max="1" width="6.625" style="2" customWidth="1"/>
    <col min="2" max="2" width="8.875" style="2" bestFit="1" customWidth="1"/>
    <col min="3" max="3" width="5.625" style="2" hidden="1" customWidth="1"/>
    <col min="4" max="4" width="38.00390625" style="2" customWidth="1"/>
    <col min="5" max="6" width="11.625" style="574" customWidth="1"/>
    <col min="7" max="7" width="10.625" style="161" customWidth="1"/>
    <col min="8" max="8" width="11.375" style="0" hidden="1" customWidth="1"/>
    <col min="9" max="9" width="0" style="0" hidden="1" customWidth="1"/>
  </cols>
  <sheetData>
    <row r="1" spans="1:6" ht="23.25">
      <c r="A1"/>
      <c r="B1"/>
      <c r="C1"/>
      <c r="D1" s="61" t="s">
        <v>314</v>
      </c>
      <c r="E1" s="205"/>
      <c r="F1" s="205"/>
    </row>
    <row r="2" spans="1:6" ht="18">
      <c r="A2"/>
      <c r="B2"/>
      <c r="C2"/>
      <c r="D2" s="65" t="s">
        <v>59</v>
      </c>
      <c r="E2" s="205"/>
      <c r="F2" s="205"/>
    </row>
    <row r="3" spans="1:6" ht="12.75">
      <c r="A3"/>
      <c r="B3"/>
      <c r="C3"/>
      <c r="D3" s="68" t="s">
        <v>321</v>
      </c>
      <c r="E3" s="205"/>
      <c r="F3" s="205"/>
    </row>
    <row r="4" spans="1:6" ht="18">
      <c r="A4" s="162"/>
      <c r="B4" s="162"/>
      <c r="C4" s="162"/>
      <c r="D4" s="69" t="s">
        <v>322</v>
      </c>
      <c r="E4" s="563"/>
      <c r="F4" s="563"/>
    </row>
    <row r="5" spans="1:6" ht="13.5" thickBot="1">
      <c r="A5" s="163"/>
      <c r="B5" s="163"/>
      <c r="C5" s="163"/>
      <c r="D5" s="163"/>
      <c r="E5" s="564"/>
      <c r="F5" s="564"/>
    </row>
    <row r="6" spans="1:7" ht="12.75">
      <c r="A6" s="1142" t="s">
        <v>52</v>
      </c>
      <c r="B6" s="1144" t="s">
        <v>53</v>
      </c>
      <c r="C6" s="1144" t="s">
        <v>129</v>
      </c>
      <c r="D6" s="1144" t="s">
        <v>69</v>
      </c>
      <c r="E6" s="1121" t="s">
        <v>918</v>
      </c>
      <c r="F6" s="1119" t="s">
        <v>899</v>
      </c>
      <c r="G6" s="1117" t="s">
        <v>325</v>
      </c>
    </row>
    <row r="7" spans="1:7" ht="12.75" customHeight="1">
      <c r="A7" s="1143"/>
      <c r="B7" s="1145"/>
      <c r="C7" s="1145"/>
      <c r="D7" s="1145"/>
      <c r="E7" s="1122"/>
      <c r="F7" s="1120"/>
      <c r="G7" s="1137"/>
    </row>
    <row r="8" spans="1:7" ht="12.75">
      <c r="A8" s="1143"/>
      <c r="B8" s="1145"/>
      <c r="C8" s="1145"/>
      <c r="D8" s="1145"/>
      <c r="E8" s="1122"/>
      <c r="F8" s="1118"/>
      <c r="G8" s="1138"/>
    </row>
    <row r="9" spans="1:7" ht="8.25" customHeight="1" thickBot="1">
      <c r="A9" s="164">
        <v>1</v>
      </c>
      <c r="B9" s="165">
        <v>2</v>
      </c>
      <c r="C9" s="165">
        <v>3</v>
      </c>
      <c r="D9" s="165">
        <v>4</v>
      </c>
      <c r="E9" s="565">
        <v>5</v>
      </c>
      <c r="F9" s="566">
        <v>6</v>
      </c>
      <c r="G9" s="166">
        <v>7</v>
      </c>
    </row>
    <row r="10" spans="1:7" ht="13.5" thickBot="1">
      <c r="A10" s="167" t="s">
        <v>327</v>
      </c>
      <c r="B10" s="167"/>
      <c r="C10" s="167"/>
      <c r="D10" s="168" t="s">
        <v>373</v>
      </c>
      <c r="E10" s="169">
        <f>E11+E14+E19+E21</f>
        <v>389840</v>
      </c>
      <c r="F10" s="169">
        <f>F11+F14+F19+F21</f>
        <v>89000</v>
      </c>
      <c r="G10" s="170">
        <f>F10/E10*100</f>
        <v>22.82987892468705</v>
      </c>
    </row>
    <row r="11" spans="1:7" s="205" customFormat="1" ht="12.75">
      <c r="A11" s="171"/>
      <c r="B11" s="171" t="s">
        <v>374</v>
      </c>
      <c r="C11" s="171"/>
      <c r="D11" s="172" t="s">
        <v>375</v>
      </c>
      <c r="E11" s="173">
        <f>E13+E12</f>
        <v>7560</v>
      </c>
      <c r="F11" s="173">
        <f>F13+F12</f>
        <v>6500</v>
      </c>
      <c r="G11" s="174">
        <f aca="true" t="shared" si="0" ref="G11:G75">F11/E11*100</f>
        <v>85.97883597883597</v>
      </c>
    </row>
    <row r="12" spans="1:7" s="205" customFormat="1" ht="12.75">
      <c r="A12" s="182"/>
      <c r="B12" s="176" t="s">
        <v>376</v>
      </c>
      <c r="C12" s="177"/>
      <c r="D12" s="178" t="s">
        <v>377</v>
      </c>
      <c r="E12" s="179">
        <v>7100</v>
      </c>
      <c r="F12" s="179">
        <v>6500</v>
      </c>
      <c r="G12" s="181">
        <f>F12/E12*100</f>
        <v>91.54929577464789</v>
      </c>
    </row>
    <row r="13" spans="1:7" s="205" customFormat="1" ht="12.75">
      <c r="A13" s="601"/>
      <c r="B13" s="602"/>
      <c r="C13" s="603"/>
      <c r="D13" s="604" t="s">
        <v>391</v>
      </c>
      <c r="E13" s="813">
        <v>460</v>
      </c>
      <c r="F13" s="813">
        <v>0</v>
      </c>
      <c r="G13" s="606">
        <f t="shared" si="0"/>
        <v>0</v>
      </c>
    </row>
    <row r="14" spans="1:7" s="205" customFormat="1" ht="14.25" customHeight="1">
      <c r="A14" s="175"/>
      <c r="B14" s="175" t="s">
        <v>380</v>
      </c>
      <c r="C14" s="175"/>
      <c r="D14" s="195" t="s">
        <v>381</v>
      </c>
      <c r="E14" s="491">
        <f>E15+E16</f>
        <v>32402</v>
      </c>
      <c r="F14" s="491">
        <f>F15+F16</f>
        <v>66000</v>
      </c>
      <c r="G14" s="492">
        <f t="shared" si="0"/>
        <v>203.69113017714957</v>
      </c>
    </row>
    <row r="15" spans="1:7" s="205" customFormat="1" ht="12.75">
      <c r="A15" s="182"/>
      <c r="B15" s="188" t="s">
        <v>376</v>
      </c>
      <c r="C15" s="182"/>
      <c r="D15" s="178" t="s">
        <v>377</v>
      </c>
      <c r="E15" s="179">
        <f>868+134</f>
        <v>1002</v>
      </c>
      <c r="F15" s="179">
        <f>F17</f>
        <v>0</v>
      </c>
      <c r="G15" s="186">
        <f t="shared" si="0"/>
        <v>0</v>
      </c>
    </row>
    <row r="16" spans="1:7" s="205" customFormat="1" ht="12.75">
      <c r="A16" s="489"/>
      <c r="B16" s="596"/>
      <c r="C16" s="489"/>
      <c r="D16" s="495" t="s">
        <v>384</v>
      </c>
      <c r="E16" s="496">
        <v>31400</v>
      </c>
      <c r="F16" s="496">
        <v>66000</v>
      </c>
      <c r="G16" s="597">
        <f t="shared" si="0"/>
        <v>210.19108280254778</v>
      </c>
    </row>
    <row r="17" spans="1:7" s="205" customFormat="1" ht="12.75" hidden="1">
      <c r="A17" s="175"/>
      <c r="B17" s="175"/>
      <c r="C17" s="175" t="s">
        <v>379</v>
      </c>
      <c r="D17" s="195" t="s">
        <v>385</v>
      </c>
      <c r="E17" s="491">
        <v>0</v>
      </c>
      <c r="F17" s="491">
        <v>0</v>
      </c>
      <c r="G17" s="492" t="e">
        <f t="shared" si="0"/>
        <v>#DIV/0!</v>
      </c>
    </row>
    <row r="18" spans="1:7" s="205" customFormat="1" ht="25.5" hidden="1">
      <c r="A18" s="182"/>
      <c r="B18" s="182"/>
      <c r="C18" s="182" t="s">
        <v>386</v>
      </c>
      <c r="D18" s="183" t="s">
        <v>387</v>
      </c>
      <c r="E18" s="184">
        <v>25000</v>
      </c>
      <c r="F18" s="184">
        <v>0</v>
      </c>
      <c r="G18" s="186">
        <f t="shared" si="0"/>
        <v>0</v>
      </c>
    </row>
    <row r="19" spans="1:7" s="205" customFormat="1" ht="12.75">
      <c r="A19" s="182"/>
      <c r="B19" s="182" t="s">
        <v>388</v>
      </c>
      <c r="C19" s="182"/>
      <c r="D19" s="183" t="s">
        <v>389</v>
      </c>
      <c r="E19" s="184">
        <f>E20</f>
        <v>15580</v>
      </c>
      <c r="F19" s="184">
        <f>F20</f>
        <v>16500</v>
      </c>
      <c r="G19" s="186">
        <f t="shared" si="0"/>
        <v>105.90500641848524</v>
      </c>
    </row>
    <row r="20" spans="1:7" s="205" customFormat="1" ht="12.75">
      <c r="A20" s="489"/>
      <c r="B20" s="493" t="s">
        <v>376</v>
      </c>
      <c r="C20" s="494"/>
      <c r="D20" s="495" t="s">
        <v>377</v>
      </c>
      <c r="E20" s="496">
        <v>15580</v>
      </c>
      <c r="F20" s="496">
        <v>16500</v>
      </c>
      <c r="G20" s="498">
        <f t="shared" si="0"/>
        <v>105.90500641848524</v>
      </c>
    </row>
    <row r="21" spans="1:7" s="205" customFormat="1" ht="12.75">
      <c r="A21" s="175"/>
      <c r="B21" s="175" t="s">
        <v>329</v>
      </c>
      <c r="C21" s="175"/>
      <c r="D21" s="195" t="s">
        <v>178</v>
      </c>
      <c r="E21" s="491">
        <f>E22+E23</f>
        <v>334298</v>
      </c>
      <c r="F21" s="491">
        <v>0</v>
      </c>
      <c r="G21" s="492">
        <f t="shared" si="0"/>
        <v>0</v>
      </c>
    </row>
    <row r="22" spans="1:7" s="205" customFormat="1" ht="12.75">
      <c r="A22" s="182"/>
      <c r="B22" s="176" t="s">
        <v>376</v>
      </c>
      <c r="C22" s="177"/>
      <c r="D22" s="178" t="s">
        <v>377</v>
      </c>
      <c r="E22" s="179">
        <f>100+120+374+72+327743+110</f>
        <v>328519</v>
      </c>
      <c r="F22" s="179">
        <v>0</v>
      </c>
      <c r="G22" s="181">
        <f t="shared" si="0"/>
        <v>0</v>
      </c>
    </row>
    <row r="23" spans="1:7" s="205" customFormat="1" ht="13.5" thickBot="1">
      <c r="A23" s="218"/>
      <c r="B23" s="190"/>
      <c r="C23" s="190"/>
      <c r="D23" s="191" t="s">
        <v>391</v>
      </c>
      <c r="E23" s="192">
        <f>4916+121+742</f>
        <v>5779</v>
      </c>
      <c r="F23" s="192">
        <v>0</v>
      </c>
      <c r="G23" s="194">
        <f t="shared" si="0"/>
        <v>0</v>
      </c>
    </row>
    <row r="24" spans="1:7" s="205" customFormat="1" ht="13.5" thickBot="1">
      <c r="A24" s="167" t="s">
        <v>392</v>
      </c>
      <c r="B24" s="167"/>
      <c r="C24" s="167"/>
      <c r="D24" s="168" t="s">
        <v>181</v>
      </c>
      <c r="E24" s="169">
        <f>E25+E27+E30</f>
        <v>737200</v>
      </c>
      <c r="F24" s="169">
        <f>F25+F27+F30</f>
        <v>871770</v>
      </c>
      <c r="G24" s="170">
        <f t="shared" si="0"/>
        <v>118.2542051003798</v>
      </c>
    </row>
    <row r="25" spans="1:7" s="205" customFormat="1" ht="12.75">
      <c r="A25" s="842"/>
      <c r="B25" s="175" t="s">
        <v>393</v>
      </c>
      <c r="C25" s="175"/>
      <c r="D25" s="195" t="s">
        <v>449</v>
      </c>
      <c r="E25" s="184">
        <f>E26</f>
        <v>50000</v>
      </c>
      <c r="F25" s="184">
        <f>F26</f>
        <v>130000</v>
      </c>
      <c r="G25" s="174">
        <f>F25/E25*100</f>
        <v>260</v>
      </c>
    </row>
    <row r="26" spans="1:7" s="205" customFormat="1" ht="13.5" thickBot="1">
      <c r="A26" s="842"/>
      <c r="B26" s="493" t="s">
        <v>376</v>
      </c>
      <c r="C26" s="494"/>
      <c r="D26" s="495" t="s">
        <v>384</v>
      </c>
      <c r="E26" s="496">
        <v>50000</v>
      </c>
      <c r="F26" s="573">
        <v>130000</v>
      </c>
      <c r="G26" s="498">
        <f>F26/E26*100</f>
        <v>260</v>
      </c>
    </row>
    <row r="27" spans="1:7" s="205" customFormat="1" ht="12.75">
      <c r="A27" s="175"/>
      <c r="B27" s="175" t="s">
        <v>393</v>
      </c>
      <c r="C27" s="175"/>
      <c r="D27" s="195" t="s">
        <v>182</v>
      </c>
      <c r="E27" s="184">
        <f>E28</f>
        <v>35000</v>
      </c>
      <c r="F27" s="184">
        <f>F28</f>
        <v>40000</v>
      </c>
      <c r="G27" s="174">
        <f t="shared" si="0"/>
        <v>114.28571428571428</v>
      </c>
    </row>
    <row r="28" spans="1:7" s="205" customFormat="1" ht="12.75">
      <c r="A28" s="489"/>
      <c r="B28" s="493" t="s">
        <v>376</v>
      </c>
      <c r="C28" s="494"/>
      <c r="D28" s="495" t="s">
        <v>377</v>
      </c>
      <c r="E28" s="496">
        <v>35000</v>
      </c>
      <c r="F28" s="573">
        <v>40000</v>
      </c>
      <c r="G28" s="498">
        <f t="shared" si="0"/>
        <v>114.28571428571428</v>
      </c>
    </row>
    <row r="29" spans="1:7" s="205" customFormat="1" ht="12.75" hidden="1">
      <c r="A29" s="175"/>
      <c r="B29" s="175"/>
      <c r="C29" s="175" t="s">
        <v>378</v>
      </c>
      <c r="D29" s="195" t="s">
        <v>394</v>
      </c>
      <c r="E29" s="491">
        <v>35000</v>
      </c>
      <c r="F29" s="568">
        <v>35000</v>
      </c>
      <c r="G29" s="492">
        <f t="shared" si="0"/>
        <v>100</v>
      </c>
    </row>
    <row r="30" spans="1:7" s="205" customFormat="1" ht="12.75">
      <c r="A30" s="175"/>
      <c r="B30" s="175" t="s">
        <v>395</v>
      </c>
      <c r="C30" s="175"/>
      <c r="D30" s="195" t="s">
        <v>396</v>
      </c>
      <c r="E30" s="184">
        <f>E31+E32+E33</f>
        <v>652200</v>
      </c>
      <c r="F30" s="184">
        <f>F31+F32+F33</f>
        <v>701770</v>
      </c>
      <c r="G30" s="186">
        <f t="shared" si="0"/>
        <v>107.6004293161607</v>
      </c>
    </row>
    <row r="31" spans="1:7" s="205" customFormat="1" ht="12.75">
      <c r="A31" s="175"/>
      <c r="B31" s="196" t="s">
        <v>376</v>
      </c>
      <c r="C31" s="197"/>
      <c r="D31" s="198" t="s">
        <v>377</v>
      </c>
      <c r="E31" s="179">
        <f>33000+48000+76000+22000</f>
        <v>179000</v>
      </c>
      <c r="F31" s="199">
        <v>149770</v>
      </c>
      <c r="G31" s="186">
        <f t="shared" si="0"/>
        <v>83.6703910614525</v>
      </c>
    </row>
    <row r="32" spans="1:7" s="205" customFormat="1" ht="12.75">
      <c r="A32" s="175"/>
      <c r="B32" s="197"/>
      <c r="C32" s="197"/>
      <c r="D32" s="198" t="s">
        <v>391</v>
      </c>
      <c r="E32" s="179">
        <v>7200</v>
      </c>
      <c r="F32" s="199">
        <v>0</v>
      </c>
      <c r="G32" s="186">
        <f t="shared" si="0"/>
        <v>0</v>
      </c>
    </row>
    <row r="33" spans="1:7" s="205" customFormat="1" ht="13.5" thickBot="1">
      <c r="A33" s="175"/>
      <c r="B33" s="197"/>
      <c r="C33" s="197"/>
      <c r="D33" s="198" t="s">
        <v>384</v>
      </c>
      <c r="E33" s="179">
        <v>466000</v>
      </c>
      <c r="F33" s="199">
        <v>552000</v>
      </c>
      <c r="G33" s="186">
        <f t="shared" si="0"/>
        <v>118.45493562231759</v>
      </c>
    </row>
    <row r="34" spans="1:7" s="205" customFormat="1" ht="12.75" hidden="1">
      <c r="A34" s="175"/>
      <c r="B34" s="175"/>
      <c r="C34" s="175" t="s">
        <v>379</v>
      </c>
      <c r="D34" s="195" t="s">
        <v>396</v>
      </c>
      <c r="E34" s="184"/>
      <c r="F34" s="568">
        <v>43000</v>
      </c>
      <c r="G34" s="186" t="e">
        <f t="shared" si="0"/>
        <v>#DIV/0!</v>
      </c>
    </row>
    <row r="35" spans="1:7" s="205" customFormat="1" ht="12.75" hidden="1">
      <c r="A35" s="175"/>
      <c r="B35" s="175"/>
      <c r="C35" s="175" t="s">
        <v>378</v>
      </c>
      <c r="D35" s="195" t="s">
        <v>396</v>
      </c>
      <c r="E35" s="184"/>
      <c r="F35" s="568">
        <v>98000</v>
      </c>
      <c r="G35" s="186" t="e">
        <f t="shared" si="0"/>
        <v>#DIV/0!</v>
      </c>
    </row>
    <row r="36" spans="1:7" s="205" customFormat="1" ht="12.75" hidden="1">
      <c r="A36" s="175"/>
      <c r="B36" s="175"/>
      <c r="C36" s="175" t="s">
        <v>397</v>
      </c>
      <c r="D36" s="195" t="s">
        <v>396</v>
      </c>
      <c r="E36" s="184">
        <f>F36+L36</f>
        <v>0</v>
      </c>
      <c r="F36" s="568"/>
      <c r="G36" s="186" t="e">
        <f t="shared" si="0"/>
        <v>#DIV/0!</v>
      </c>
    </row>
    <row r="37" spans="1:7" s="205" customFormat="1" ht="12.75" hidden="1">
      <c r="A37" s="175"/>
      <c r="B37" s="175"/>
      <c r="C37" s="175" t="s">
        <v>398</v>
      </c>
      <c r="D37" s="195" t="s">
        <v>396</v>
      </c>
      <c r="E37" s="184">
        <f>F37+L37</f>
        <v>0</v>
      </c>
      <c r="F37" s="568"/>
      <c r="G37" s="186" t="e">
        <f t="shared" si="0"/>
        <v>#DIV/0!</v>
      </c>
    </row>
    <row r="38" spans="1:7" s="205" customFormat="1" ht="13.5" hidden="1" thickBot="1">
      <c r="A38" s="189"/>
      <c r="B38" s="189"/>
      <c r="C38" s="189" t="s">
        <v>399</v>
      </c>
      <c r="D38" s="200" t="s">
        <v>396</v>
      </c>
      <c r="E38" s="201">
        <f>F38+L38</f>
        <v>0</v>
      </c>
      <c r="F38" s="569"/>
      <c r="G38" s="581" t="e">
        <f t="shared" si="0"/>
        <v>#DIV/0!</v>
      </c>
    </row>
    <row r="39" spans="1:7" s="205" customFormat="1" ht="13.5" thickBot="1">
      <c r="A39" s="167" t="s">
        <v>400</v>
      </c>
      <c r="B39" s="167"/>
      <c r="C39" s="167"/>
      <c r="D39" s="168" t="s">
        <v>332</v>
      </c>
      <c r="E39" s="169">
        <f>E40+E50</f>
        <v>181320</v>
      </c>
      <c r="F39" s="169">
        <f>F40+F50</f>
        <v>1332600</v>
      </c>
      <c r="G39" s="170">
        <f t="shared" si="0"/>
        <v>734.9437458636664</v>
      </c>
    </row>
    <row r="40" spans="1:7" s="205" customFormat="1" ht="14.25" customHeight="1">
      <c r="A40" s="175"/>
      <c r="B40" s="175" t="s">
        <v>401</v>
      </c>
      <c r="C40" s="175"/>
      <c r="D40" s="195" t="s">
        <v>333</v>
      </c>
      <c r="E40" s="184">
        <f>SUM(E41:E45)</f>
        <v>75000</v>
      </c>
      <c r="F40" s="184">
        <f>SUM(F41:F45)</f>
        <v>39000</v>
      </c>
      <c r="G40" s="174">
        <f t="shared" si="0"/>
        <v>52</v>
      </c>
    </row>
    <row r="41" spans="1:7" s="205" customFormat="1" ht="12.75">
      <c r="A41" s="197"/>
      <c r="B41" s="196" t="s">
        <v>376</v>
      </c>
      <c r="C41" s="197"/>
      <c r="D41" s="198" t="s">
        <v>377</v>
      </c>
      <c r="E41" s="179">
        <v>26800</v>
      </c>
      <c r="F41" s="199">
        <v>37500</v>
      </c>
      <c r="G41" s="181">
        <f t="shared" si="0"/>
        <v>139.92537313432837</v>
      </c>
    </row>
    <row r="42" spans="1:7" s="205" customFormat="1" ht="12.75" hidden="1">
      <c r="A42" s="197"/>
      <c r="B42" s="197"/>
      <c r="C42" s="197"/>
      <c r="D42" s="198"/>
      <c r="E42" s="179"/>
      <c r="F42" s="199"/>
      <c r="G42" s="181"/>
    </row>
    <row r="43" spans="1:7" s="205" customFormat="1" ht="12.75">
      <c r="A43" s="177"/>
      <c r="B43" s="177"/>
      <c r="C43" s="177"/>
      <c r="D43" s="178" t="s">
        <v>384</v>
      </c>
      <c r="E43" s="179">
        <v>47000</v>
      </c>
      <c r="F43" s="180">
        <v>0</v>
      </c>
      <c r="G43" s="181">
        <f t="shared" si="0"/>
        <v>0</v>
      </c>
    </row>
    <row r="44" spans="1:7" s="205" customFormat="1" ht="12.75">
      <c r="A44" s="197"/>
      <c r="B44" s="197"/>
      <c r="C44" s="197"/>
      <c r="D44" s="198" t="s">
        <v>391</v>
      </c>
      <c r="E44" s="958">
        <v>200</v>
      </c>
      <c r="F44" s="199">
        <v>0</v>
      </c>
      <c r="G44" s="598">
        <f t="shared" si="0"/>
        <v>0</v>
      </c>
    </row>
    <row r="45" spans="1:7" s="205" customFormat="1" ht="13.5" customHeight="1">
      <c r="A45" s="494"/>
      <c r="B45" s="494"/>
      <c r="C45" s="494"/>
      <c r="D45" s="495" t="s">
        <v>121</v>
      </c>
      <c r="E45" s="496">
        <v>1000</v>
      </c>
      <c r="F45" s="573">
        <v>1500</v>
      </c>
      <c r="G45" s="498">
        <f t="shared" si="0"/>
        <v>150</v>
      </c>
    </row>
    <row r="46" spans="1:7" s="205" customFormat="1" ht="12.75" hidden="1">
      <c r="A46" s="175"/>
      <c r="B46" s="175"/>
      <c r="C46" s="175" t="s">
        <v>402</v>
      </c>
      <c r="D46" s="195" t="s">
        <v>403</v>
      </c>
      <c r="E46" s="491"/>
      <c r="F46" s="568"/>
      <c r="G46" s="492" t="e">
        <f t="shared" si="0"/>
        <v>#DIV/0!</v>
      </c>
    </row>
    <row r="47" spans="1:7" s="205" customFormat="1" ht="12.75" hidden="1">
      <c r="A47" s="175"/>
      <c r="B47" s="175"/>
      <c r="C47" s="175" t="s">
        <v>404</v>
      </c>
      <c r="D47" s="195" t="s">
        <v>405</v>
      </c>
      <c r="E47" s="184"/>
      <c r="F47" s="568"/>
      <c r="G47" s="186" t="e">
        <f t="shared" si="0"/>
        <v>#DIV/0!</v>
      </c>
    </row>
    <row r="48" spans="1:7" s="205" customFormat="1" ht="25.5" hidden="1">
      <c r="A48" s="175"/>
      <c r="B48" s="175"/>
      <c r="C48" s="175" t="s">
        <v>379</v>
      </c>
      <c r="D48" s="195" t="s">
        <v>333</v>
      </c>
      <c r="E48" s="184"/>
      <c r="F48" s="568"/>
      <c r="G48" s="186" t="e">
        <f t="shared" si="0"/>
        <v>#DIV/0!</v>
      </c>
    </row>
    <row r="49" spans="1:7" s="205" customFormat="1" ht="25.5" hidden="1">
      <c r="A49" s="175"/>
      <c r="B49" s="175"/>
      <c r="C49" s="175" t="s">
        <v>378</v>
      </c>
      <c r="D49" s="195" t="s">
        <v>333</v>
      </c>
      <c r="E49" s="184"/>
      <c r="F49" s="568"/>
      <c r="G49" s="186" t="e">
        <f t="shared" si="0"/>
        <v>#DIV/0!</v>
      </c>
    </row>
    <row r="50" spans="1:7" s="205" customFormat="1" ht="12.75">
      <c r="A50" s="175"/>
      <c r="B50" s="175" t="s">
        <v>406</v>
      </c>
      <c r="C50" s="175"/>
      <c r="D50" s="195" t="s">
        <v>178</v>
      </c>
      <c r="E50" s="184">
        <f>SUM(E51:E53)</f>
        <v>106320</v>
      </c>
      <c r="F50" s="184">
        <f>SUM(F51:F53)</f>
        <v>1293600</v>
      </c>
      <c r="G50" s="186">
        <f t="shared" si="0"/>
        <v>1216.7042889390518</v>
      </c>
    </row>
    <row r="51" spans="1:7" s="205" customFormat="1" ht="12.75">
      <c r="A51" s="175"/>
      <c r="B51" s="196" t="s">
        <v>376</v>
      </c>
      <c r="C51" s="197"/>
      <c r="D51" s="198" t="s">
        <v>377</v>
      </c>
      <c r="E51" s="179">
        <f>470+22000+15500</f>
        <v>37970</v>
      </c>
      <c r="F51" s="199">
        <v>29600</v>
      </c>
      <c r="G51" s="181">
        <f t="shared" si="0"/>
        <v>77.95628127469054</v>
      </c>
    </row>
    <row r="52" spans="1:7" s="205" customFormat="1" ht="12.75">
      <c r="A52" s="175"/>
      <c r="B52" s="197"/>
      <c r="C52" s="197"/>
      <c r="D52" s="198" t="s">
        <v>391</v>
      </c>
      <c r="E52" s="179">
        <v>350</v>
      </c>
      <c r="F52" s="199">
        <v>0</v>
      </c>
      <c r="G52" s="181">
        <f t="shared" si="0"/>
        <v>0</v>
      </c>
    </row>
    <row r="53" spans="1:7" s="205" customFormat="1" ht="13.5" thickBot="1">
      <c r="A53" s="175"/>
      <c r="B53" s="197"/>
      <c r="C53" s="197"/>
      <c r="D53" s="198" t="s">
        <v>384</v>
      </c>
      <c r="E53" s="179">
        <v>68000</v>
      </c>
      <c r="F53" s="199">
        <v>1264000</v>
      </c>
      <c r="G53" s="181">
        <f t="shared" si="0"/>
        <v>1858.8235294117649</v>
      </c>
    </row>
    <row r="54" spans="1:7" s="205" customFormat="1" ht="12.75" hidden="1">
      <c r="A54" s="175"/>
      <c r="B54" s="175"/>
      <c r="C54" s="175" t="s">
        <v>402</v>
      </c>
      <c r="D54" s="195" t="s">
        <v>407</v>
      </c>
      <c r="E54" s="184"/>
      <c r="F54" s="568"/>
      <c r="G54" s="186" t="e">
        <f t="shared" si="0"/>
        <v>#DIV/0!</v>
      </c>
    </row>
    <row r="55" spans="1:7" s="205" customFormat="1" ht="12.75" hidden="1">
      <c r="A55" s="175"/>
      <c r="B55" s="175"/>
      <c r="C55" s="175" t="s">
        <v>408</v>
      </c>
      <c r="D55" s="195" t="s">
        <v>409</v>
      </c>
      <c r="E55" s="184"/>
      <c r="F55" s="568"/>
      <c r="G55" s="186" t="e">
        <f t="shared" si="0"/>
        <v>#DIV/0!</v>
      </c>
    </row>
    <row r="56" spans="1:7" s="205" customFormat="1" ht="12.75" hidden="1">
      <c r="A56" s="175"/>
      <c r="B56" s="175"/>
      <c r="C56" s="175" t="s">
        <v>378</v>
      </c>
      <c r="D56" s="195" t="s">
        <v>390</v>
      </c>
      <c r="E56" s="184"/>
      <c r="F56" s="568"/>
      <c r="G56" s="186" t="e">
        <f t="shared" si="0"/>
        <v>#DIV/0!</v>
      </c>
    </row>
    <row r="57" spans="1:7" s="205" customFormat="1" ht="26.25" hidden="1" thickBot="1">
      <c r="A57" s="189"/>
      <c r="B57" s="189"/>
      <c r="C57" s="189" t="s">
        <v>386</v>
      </c>
      <c r="D57" s="200" t="s">
        <v>410</v>
      </c>
      <c r="E57" s="201"/>
      <c r="F57" s="569"/>
      <c r="G57" s="186" t="e">
        <f t="shared" si="0"/>
        <v>#DIV/0!</v>
      </c>
    </row>
    <row r="58" spans="1:7" s="205" customFormat="1" ht="13.5" thickBot="1">
      <c r="A58" s="167" t="s">
        <v>411</v>
      </c>
      <c r="B58" s="167"/>
      <c r="C58" s="167"/>
      <c r="D58" s="168" t="s">
        <v>185</v>
      </c>
      <c r="E58" s="169">
        <f>E59</f>
        <v>199840</v>
      </c>
      <c r="F58" s="169">
        <f>F59</f>
        <v>387650</v>
      </c>
      <c r="G58" s="170">
        <f t="shared" si="0"/>
        <v>193.98018414731786</v>
      </c>
    </row>
    <row r="59" spans="1:7" s="205" customFormat="1" ht="15" customHeight="1">
      <c r="A59" s="202"/>
      <c r="B59" s="175" t="s">
        <v>412</v>
      </c>
      <c r="C59" s="175"/>
      <c r="D59" s="195" t="s">
        <v>186</v>
      </c>
      <c r="E59" s="184">
        <f>E60+E61+E62</f>
        <v>199840</v>
      </c>
      <c r="F59" s="185">
        <f>F60+F61+F62</f>
        <v>387650</v>
      </c>
      <c r="G59" s="203">
        <f t="shared" si="0"/>
        <v>193.98018414731786</v>
      </c>
    </row>
    <row r="60" spans="1:7" s="205" customFormat="1" ht="12.75">
      <c r="A60" s="202"/>
      <c r="B60" s="196" t="s">
        <v>376</v>
      </c>
      <c r="C60" s="197"/>
      <c r="D60" s="198" t="s">
        <v>377</v>
      </c>
      <c r="E60" s="179">
        <f>10000+5000+10000+50000</f>
        <v>75000</v>
      </c>
      <c r="F60" s="199">
        <v>135650</v>
      </c>
      <c r="G60" s="204">
        <f t="shared" si="0"/>
        <v>180.86666666666667</v>
      </c>
    </row>
    <row r="61" spans="1:7" s="205" customFormat="1" ht="12.75">
      <c r="A61" s="202"/>
      <c r="B61" s="197"/>
      <c r="C61" s="197"/>
      <c r="D61" s="198" t="s">
        <v>391</v>
      </c>
      <c r="E61" s="179">
        <v>4840</v>
      </c>
      <c r="F61" s="199">
        <v>0</v>
      </c>
      <c r="G61" s="575" t="s">
        <v>810</v>
      </c>
    </row>
    <row r="62" spans="1:7" s="205" customFormat="1" ht="13.5" thickBot="1">
      <c r="A62" s="202"/>
      <c r="B62" s="197"/>
      <c r="C62" s="197"/>
      <c r="D62" s="198" t="s">
        <v>384</v>
      </c>
      <c r="E62" s="179">
        <v>120000</v>
      </c>
      <c r="F62" s="199">
        <v>252000</v>
      </c>
      <c r="G62" s="204">
        <f t="shared" si="0"/>
        <v>210</v>
      </c>
    </row>
    <row r="63" spans="1:7" s="205" customFormat="1" ht="12.75" hidden="1">
      <c r="A63" s="175"/>
      <c r="B63" s="175"/>
      <c r="C63" s="175" t="s">
        <v>408</v>
      </c>
      <c r="D63" s="195" t="s">
        <v>413</v>
      </c>
      <c r="E63" s="184"/>
      <c r="F63" s="568"/>
      <c r="G63" s="203" t="e">
        <f t="shared" si="0"/>
        <v>#DIV/0!</v>
      </c>
    </row>
    <row r="64" spans="1:7" s="205" customFormat="1" ht="12.75" hidden="1">
      <c r="A64" s="175"/>
      <c r="B64" s="175"/>
      <c r="C64" s="175" t="s">
        <v>402</v>
      </c>
      <c r="D64" s="195" t="s">
        <v>414</v>
      </c>
      <c r="E64" s="184"/>
      <c r="F64" s="568"/>
      <c r="G64" s="203" t="e">
        <f t="shared" si="0"/>
        <v>#DIV/0!</v>
      </c>
    </row>
    <row r="65" spans="1:7" s="205" customFormat="1" ht="12.75" hidden="1">
      <c r="A65" s="175"/>
      <c r="B65" s="175"/>
      <c r="C65" s="175" t="s">
        <v>379</v>
      </c>
      <c r="D65" s="195" t="s">
        <v>385</v>
      </c>
      <c r="E65" s="184"/>
      <c r="F65" s="568"/>
      <c r="G65" s="203" t="e">
        <f t="shared" si="0"/>
        <v>#DIV/0!</v>
      </c>
    </row>
    <row r="66" spans="1:7" s="205" customFormat="1" ht="12.75" hidden="1">
      <c r="A66" s="175"/>
      <c r="B66" s="175"/>
      <c r="C66" s="175" t="s">
        <v>378</v>
      </c>
      <c r="D66" s="195" t="s">
        <v>394</v>
      </c>
      <c r="E66" s="184"/>
      <c r="F66" s="568"/>
      <c r="G66" s="203" t="e">
        <f t="shared" si="0"/>
        <v>#DIV/0!</v>
      </c>
    </row>
    <row r="67" spans="1:7" s="205" customFormat="1" ht="12.75" hidden="1">
      <c r="A67" s="175"/>
      <c r="B67" s="175"/>
      <c r="C67" s="175" t="s">
        <v>415</v>
      </c>
      <c r="D67" s="195" t="s">
        <v>416</v>
      </c>
      <c r="E67" s="184"/>
      <c r="F67" s="568"/>
      <c r="G67" s="203" t="e">
        <f t="shared" si="0"/>
        <v>#DIV/0!</v>
      </c>
    </row>
    <row r="68" spans="1:7" s="205" customFormat="1" ht="26.25" hidden="1" thickBot="1">
      <c r="A68" s="189"/>
      <c r="B68" s="189"/>
      <c r="C68" s="189" t="s">
        <v>397</v>
      </c>
      <c r="D68" s="200" t="s">
        <v>417</v>
      </c>
      <c r="E68" s="201"/>
      <c r="F68" s="569"/>
      <c r="G68" s="203" t="e">
        <f t="shared" si="0"/>
        <v>#DIV/0!</v>
      </c>
    </row>
    <row r="69" spans="1:7" s="205" customFormat="1" ht="13.5" thickBot="1">
      <c r="A69" s="167" t="s">
        <v>418</v>
      </c>
      <c r="B69" s="167"/>
      <c r="C69" s="167"/>
      <c r="D69" s="168" t="s">
        <v>203</v>
      </c>
      <c r="E69" s="169">
        <f>E70+E74+E77</f>
        <v>158350</v>
      </c>
      <c r="F69" s="169">
        <f>F70+F74+F77</f>
        <v>213860</v>
      </c>
      <c r="G69" s="170">
        <f t="shared" si="0"/>
        <v>135.0552573413325</v>
      </c>
    </row>
    <row r="70" spans="1:7" s="205" customFormat="1" ht="14.25" customHeight="1">
      <c r="A70" s="175"/>
      <c r="B70" s="175" t="s">
        <v>419</v>
      </c>
      <c r="C70" s="175"/>
      <c r="D70" s="195" t="s">
        <v>420</v>
      </c>
      <c r="E70" s="184">
        <f>E71+E72</f>
        <v>39950</v>
      </c>
      <c r="F70" s="184">
        <f>F71+F72</f>
        <v>80000</v>
      </c>
      <c r="G70" s="174">
        <f t="shared" si="0"/>
        <v>200.2503128911139</v>
      </c>
    </row>
    <row r="71" spans="1:7" s="205" customFormat="1" ht="12.75">
      <c r="A71" s="175"/>
      <c r="B71" s="196" t="s">
        <v>376</v>
      </c>
      <c r="C71" s="197"/>
      <c r="D71" s="198" t="s">
        <v>377</v>
      </c>
      <c r="E71" s="179">
        <v>39000</v>
      </c>
      <c r="F71" s="199">
        <v>80000</v>
      </c>
      <c r="G71" s="181">
        <f t="shared" si="0"/>
        <v>205.1282051282051</v>
      </c>
    </row>
    <row r="72" spans="1:7" s="205" customFormat="1" ht="12.75">
      <c r="A72" s="489"/>
      <c r="B72" s="493"/>
      <c r="C72" s="494"/>
      <c r="D72" s="495" t="s">
        <v>391</v>
      </c>
      <c r="E72" s="496">
        <v>950</v>
      </c>
      <c r="F72" s="573">
        <v>0</v>
      </c>
      <c r="G72" s="498"/>
    </row>
    <row r="73" spans="1:7" s="205" customFormat="1" ht="12.75" hidden="1">
      <c r="A73" s="175"/>
      <c r="B73" s="175"/>
      <c r="C73" s="175" t="s">
        <v>378</v>
      </c>
      <c r="D73" s="195" t="s">
        <v>390</v>
      </c>
      <c r="E73" s="491"/>
      <c r="F73" s="568"/>
      <c r="G73" s="492" t="e">
        <f t="shared" si="0"/>
        <v>#DIV/0!</v>
      </c>
    </row>
    <row r="74" spans="1:7" s="205" customFormat="1" ht="13.5" customHeight="1">
      <c r="A74" s="175"/>
      <c r="B74" s="175" t="s">
        <v>421</v>
      </c>
      <c r="C74" s="175"/>
      <c r="D74" s="195" t="s">
        <v>422</v>
      </c>
      <c r="E74" s="184">
        <f>E75</f>
        <v>28000</v>
      </c>
      <c r="F74" s="184">
        <f>F75</f>
        <v>30000</v>
      </c>
      <c r="G74" s="186">
        <f t="shared" si="0"/>
        <v>107.14285714285714</v>
      </c>
    </row>
    <row r="75" spans="1:7" s="205" customFormat="1" ht="12.75">
      <c r="A75" s="489"/>
      <c r="B75" s="493" t="s">
        <v>376</v>
      </c>
      <c r="C75" s="494"/>
      <c r="D75" s="495" t="s">
        <v>377</v>
      </c>
      <c r="E75" s="496">
        <v>28000</v>
      </c>
      <c r="F75" s="573">
        <v>30000</v>
      </c>
      <c r="G75" s="498">
        <f t="shared" si="0"/>
        <v>107.14285714285714</v>
      </c>
    </row>
    <row r="76" spans="1:7" s="205" customFormat="1" ht="12.75" hidden="1">
      <c r="A76" s="175"/>
      <c r="B76" s="175"/>
      <c r="C76" s="175" t="s">
        <v>378</v>
      </c>
      <c r="D76" s="195" t="s">
        <v>390</v>
      </c>
      <c r="E76" s="491"/>
      <c r="F76" s="568"/>
      <c r="G76" s="492"/>
    </row>
    <row r="77" spans="1:7" s="205" customFormat="1" ht="12.75">
      <c r="A77" s="175"/>
      <c r="B77" s="175" t="s">
        <v>423</v>
      </c>
      <c r="C77" s="175"/>
      <c r="D77" s="195" t="s">
        <v>204</v>
      </c>
      <c r="E77" s="184">
        <f>E78+E79</f>
        <v>90400</v>
      </c>
      <c r="F77" s="184">
        <f>F78+F79</f>
        <v>103860</v>
      </c>
      <c r="G77" s="186">
        <f aca="true" t="shared" si="1" ref="G77:G113">F77/E77*100</f>
        <v>114.88938053097345</v>
      </c>
    </row>
    <row r="78" spans="1:7" s="205" customFormat="1" ht="12.75">
      <c r="A78" s="175"/>
      <c r="B78" s="196" t="s">
        <v>376</v>
      </c>
      <c r="C78" s="197"/>
      <c r="D78" s="198" t="s">
        <v>377</v>
      </c>
      <c r="E78" s="179">
        <f>6200+5600+54500+10000</f>
        <v>76300</v>
      </c>
      <c r="F78" s="199">
        <v>98860</v>
      </c>
      <c r="G78" s="181">
        <f>F78/E78*100</f>
        <v>129.56749672346</v>
      </c>
    </row>
    <row r="79" spans="1:7" s="205" customFormat="1" ht="13.5" customHeight="1" thickBot="1">
      <c r="A79" s="175"/>
      <c r="B79" s="196"/>
      <c r="C79" s="197"/>
      <c r="D79" s="198" t="s">
        <v>384</v>
      </c>
      <c r="E79" s="179">
        <f>14100</f>
        <v>14100</v>
      </c>
      <c r="F79" s="199">
        <v>5000</v>
      </c>
      <c r="G79" s="181">
        <f>F79/E79*100</f>
        <v>35.46099290780142</v>
      </c>
    </row>
    <row r="80" spans="1:7" s="618" customFormat="1" ht="12.75" hidden="1">
      <c r="A80" s="249"/>
      <c r="B80" s="249"/>
      <c r="C80" s="249" t="s">
        <v>379</v>
      </c>
      <c r="D80" s="195" t="s">
        <v>204</v>
      </c>
      <c r="E80" s="184"/>
      <c r="F80" s="568"/>
      <c r="G80" s="203" t="e">
        <f t="shared" si="1"/>
        <v>#DIV/0!</v>
      </c>
    </row>
    <row r="81" spans="1:7" s="618" customFormat="1" ht="12.75" hidden="1">
      <c r="A81" s="249"/>
      <c r="B81" s="249"/>
      <c r="C81" s="249" t="s">
        <v>378</v>
      </c>
      <c r="D81" s="195" t="s">
        <v>204</v>
      </c>
      <c r="E81" s="184"/>
      <c r="F81" s="568"/>
      <c r="G81" s="203" t="e">
        <f t="shared" si="1"/>
        <v>#DIV/0!</v>
      </c>
    </row>
    <row r="82" spans="1:7" s="618" customFormat="1" ht="13.5" hidden="1" thickBot="1">
      <c r="A82" s="258"/>
      <c r="B82" s="258"/>
      <c r="C82" s="258" t="s">
        <v>386</v>
      </c>
      <c r="D82" s="200" t="s">
        <v>204</v>
      </c>
      <c r="E82" s="184"/>
      <c r="F82" s="569"/>
      <c r="G82" s="203" t="e">
        <f t="shared" si="1"/>
        <v>#DIV/0!</v>
      </c>
    </row>
    <row r="83" spans="1:7" s="205" customFormat="1" ht="13.5" thickBot="1">
      <c r="A83" s="167" t="s">
        <v>424</v>
      </c>
      <c r="B83" s="167"/>
      <c r="C83" s="167"/>
      <c r="D83" s="168" t="s">
        <v>207</v>
      </c>
      <c r="E83" s="169">
        <f>E84+E87+E89+E91+E118+E120</f>
        <v>1474080</v>
      </c>
      <c r="F83" s="169">
        <f>F84+F87+F89+F91+F118+F120</f>
        <v>1844395</v>
      </c>
      <c r="G83" s="170">
        <f t="shared" si="1"/>
        <v>125.1217708672528</v>
      </c>
    </row>
    <row r="84" spans="1:7" s="205" customFormat="1" ht="12.75">
      <c r="A84" s="175"/>
      <c r="B84" s="175" t="s">
        <v>425</v>
      </c>
      <c r="C84" s="175"/>
      <c r="D84" s="195" t="s">
        <v>426</v>
      </c>
      <c r="E84" s="184">
        <f>E85+E86</f>
        <v>119000</v>
      </c>
      <c r="F84" s="568">
        <v>129935</v>
      </c>
      <c r="G84" s="174">
        <f t="shared" si="1"/>
        <v>109.1890756302521</v>
      </c>
    </row>
    <row r="85" spans="1:7" s="205" customFormat="1" ht="12.75">
      <c r="A85" s="175"/>
      <c r="B85" s="196" t="s">
        <v>376</v>
      </c>
      <c r="C85" s="197"/>
      <c r="D85" s="198" t="s">
        <v>377</v>
      </c>
      <c r="E85" s="179">
        <f>2500+500+1200+300+2000+8600+600+300</f>
        <v>16000</v>
      </c>
      <c r="F85" s="199">
        <f>F84-F86</f>
        <v>14285</v>
      </c>
      <c r="G85" s="181">
        <f>F85/E85*100</f>
        <v>89.28125</v>
      </c>
    </row>
    <row r="86" spans="1:7" s="205" customFormat="1" ht="12.75">
      <c r="A86" s="489"/>
      <c r="B86" s="494"/>
      <c r="C86" s="494"/>
      <c r="D86" s="495" t="s">
        <v>391</v>
      </c>
      <c r="E86" s="496">
        <f>82700+5800+12500+2000</f>
        <v>103000</v>
      </c>
      <c r="F86" s="573">
        <v>115650</v>
      </c>
      <c r="G86" s="498">
        <f>F86/E86*100</f>
        <v>112.28155339805825</v>
      </c>
    </row>
    <row r="87" spans="1:7" s="205" customFormat="1" ht="12.75">
      <c r="A87" s="175"/>
      <c r="B87" s="175" t="s">
        <v>427</v>
      </c>
      <c r="C87" s="175"/>
      <c r="D87" s="195" t="s">
        <v>213</v>
      </c>
      <c r="E87" s="491">
        <f>F87+L87</f>
        <v>2400</v>
      </c>
      <c r="F87" s="568">
        <v>2400</v>
      </c>
      <c r="G87" s="492">
        <f t="shared" si="1"/>
        <v>100</v>
      </c>
    </row>
    <row r="88" spans="1:7" s="205" customFormat="1" ht="12.75">
      <c r="A88" s="489"/>
      <c r="B88" s="493" t="s">
        <v>376</v>
      </c>
      <c r="C88" s="494"/>
      <c r="D88" s="495" t="s">
        <v>391</v>
      </c>
      <c r="E88" s="496">
        <v>2400</v>
      </c>
      <c r="F88" s="573">
        <v>2400</v>
      </c>
      <c r="G88" s="498">
        <f t="shared" si="1"/>
        <v>100</v>
      </c>
    </row>
    <row r="89" spans="1:7" s="205" customFormat="1" ht="12.75">
      <c r="A89" s="175"/>
      <c r="B89" s="175" t="s">
        <v>428</v>
      </c>
      <c r="C89" s="175"/>
      <c r="D89" s="195" t="s">
        <v>429</v>
      </c>
      <c r="E89" s="491">
        <f>E90</f>
        <v>55000</v>
      </c>
      <c r="F89" s="491">
        <f>F90</f>
        <v>57900</v>
      </c>
      <c r="G89" s="492">
        <f t="shared" si="1"/>
        <v>105.27272727272728</v>
      </c>
    </row>
    <row r="90" spans="1:7" s="205" customFormat="1" ht="14.25" customHeight="1">
      <c r="A90" s="489"/>
      <c r="B90" s="493" t="s">
        <v>376</v>
      </c>
      <c r="C90" s="494"/>
      <c r="D90" s="495" t="s">
        <v>377</v>
      </c>
      <c r="E90" s="496">
        <v>55000</v>
      </c>
      <c r="F90" s="573">
        <v>57900</v>
      </c>
      <c r="G90" s="498">
        <f t="shared" si="1"/>
        <v>105.27272727272728</v>
      </c>
    </row>
    <row r="91" spans="1:10" s="205" customFormat="1" ht="12.75">
      <c r="A91" s="175"/>
      <c r="B91" s="175" t="s">
        <v>430</v>
      </c>
      <c r="C91" s="175"/>
      <c r="D91" s="195" t="s">
        <v>431</v>
      </c>
      <c r="E91" s="491">
        <f>SUM(E95:E117)</f>
        <v>1283453</v>
      </c>
      <c r="F91" s="491">
        <f>SUM(F95:F117)</f>
        <v>1639360</v>
      </c>
      <c r="G91" s="492">
        <f t="shared" si="1"/>
        <v>127.73042721470907</v>
      </c>
      <c r="J91" s="582"/>
    </row>
    <row r="92" spans="1:7" s="205" customFormat="1" ht="12.75">
      <c r="A92" s="175"/>
      <c r="B92" s="196" t="s">
        <v>376</v>
      </c>
      <c r="C92" s="197"/>
      <c r="D92" s="198" t="s">
        <v>377</v>
      </c>
      <c r="E92" s="199">
        <f>E95+E102+E103+E104+E105+E106+E107+E109+E110+E111+E112+E113+E114+E115+E116+E108</f>
        <v>281600</v>
      </c>
      <c r="F92" s="199">
        <f>F95+F102+F103+F104+F105+F106+F107+F109+F110+F111+F112+F113+F114+F115+F116+F108</f>
        <v>275460</v>
      </c>
      <c r="G92" s="181">
        <f t="shared" si="1"/>
        <v>97.81960227272727</v>
      </c>
    </row>
    <row r="93" spans="1:7" s="205" customFormat="1" ht="12.75">
      <c r="A93" s="175"/>
      <c r="B93" s="197"/>
      <c r="C93" s="197"/>
      <c r="D93" s="198" t="s">
        <v>391</v>
      </c>
      <c r="E93" s="199">
        <f>E96+E97+E98+E99+E101+E100</f>
        <v>1001853</v>
      </c>
      <c r="F93" s="199">
        <f>F96+F97+F98+F99+F101+F100</f>
        <v>1065400</v>
      </c>
      <c r="G93" s="181">
        <f t="shared" si="1"/>
        <v>106.34294652009825</v>
      </c>
    </row>
    <row r="94" spans="1:7" s="205" customFormat="1" ht="12" customHeight="1">
      <c r="A94" s="489"/>
      <c r="B94" s="494"/>
      <c r="C94" s="494"/>
      <c r="D94" s="495" t="s">
        <v>384</v>
      </c>
      <c r="E94" s="573">
        <f>E117</f>
        <v>0</v>
      </c>
      <c r="F94" s="573">
        <f>F117</f>
        <v>298500</v>
      </c>
      <c r="G94" s="497" t="s">
        <v>810</v>
      </c>
    </row>
    <row r="95" spans="1:7" s="618" customFormat="1" ht="12.75" hidden="1">
      <c r="A95" s="249"/>
      <c r="B95" s="249"/>
      <c r="C95" s="249" t="s">
        <v>432</v>
      </c>
      <c r="D95" s="727" t="s">
        <v>433</v>
      </c>
      <c r="E95" s="845">
        <v>1100</v>
      </c>
      <c r="F95" s="846">
        <v>1500</v>
      </c>
      <c r="G95" s="847">
        <f t="shared" si="1"/>
        <v>136.36363636363635</v>
      </c>
    </row>
    <row r="96" spans="1:7" s="618" customFormat="1" ht="12.75" hidden="1">
      <c r="A96" s="249"/>
      <c r="B96" s="249"/>
      <c r="C96" s="249" t="s">
        <v>434</v>
      </c>
      <c r="D96" s="727" t="s">
        <v>435</v>
      </c>
      <c r="E96" s="725">
        <v>780000</v>
      </c>
      <c r="F96" s="846">
        <v>841000</v>
      </c>
      <c r="G96" s="859">
        <f t="shared" si="1"/>
        <v>107.82051282051282</v>
      </c>
    </row>
    <row r="97" spans="1:7" s="618" customFormat="1" ht="12.75" hidden="1">
      <c r="A97" s="249"/>
      <c r="B97" s="249"/>
      <c r="C97" s="249" t="s">
        <v>436</v>
      </c>
      <c r="D97" s="727" t="s">
        <v>437</v>
      </c>
      <c r="E97" s="725">
        <v>50253</v>
      </c>
      <c r="F97" s="846">
        <v>60800</v>
      </c>
      <c r="G97" s="859">
        <f t="shared" si="1"/>
        <v>120.98780172328021</v>
      </c>
    </row>
    <row r="98" spans="1:7" s="618" customFormat="1" ht="12.75" hidden="1">
      <c r="A98" s="249"/>
      <c r="B98" s="249"/>
      <c r="C98" s="249" t="s">
        <v>438</v>
      </c>
      <c r="D98" s="727" t="s">
        <v>439</v>
      </c>
      <c r="E98" s="725">
        <v>125000</v>
      </c>
      <c r="F98" s="846">
        <v>134300</v>
      </c>
      <c r="G98" s="859">
        <f t="shared" si="1"/>
        <v>107.44</v>
      </c>
    </row>
    <row r="99" spans="1:7" s="618" customFormat="1" ht="12.75" hidden="1">
      <c r="A99" s="249"/>
      <c r="B99" s="249"/>
      <c r="C99" s="249" t="s">
        <v>440</v>
      </c>
      <c r="D99" s="727" t="s">
        <v>441</v>
      </c>
      <c r="E99" s="725">
        <v>20700</v>
      </c>
      <c r="F99" s="846">
        <v>20600</v>
      </c>
      <c r="G99" s="859">
        <f t="shared" si="1"/>
        <v>99.51690821256038</v>
      </c>
    </row>
    <row r="100" spans="1:7" s="618" customFormat="1" ht="12.75" hidden="1">
      <c r="A100" s="249"/>
      <c r="B100" s="249"/>
      <c r="C100" s="249"/>
      <c r="D100" s="727" t="s">
        <v>661</v>
      </c>
      <c r="E100" s="725">
        <v>0</v>
      </c>
      <c r="F100" s="846">
        <v>0</v>
      </c>
      <c r="G100" s="859" t="e">
        <f t="shared" si="1"/>
        <v>#DIV/0!</v>
      </c>
    </row>
    <row r="101" spans="1:7" s="618" customFormat="1" ht="12.75" hidden="1">
      <c r="A101" s="249"/>
      <c r="B101" s="249"/>
      <c r="C101" s="249" t="s">
        <v>442</v>
      </c>
      <c r="D101" s="727" t="s">
        <v>528</v>
      </c>
      <c r="E101" s="725">
        <v>25900</v>
      </c>
      <c r="F101" s="846">
        <v>8700</v>
      </c>
      <c r="G101" s="859">
        <f t="shared" si="1"/>
        <v>33.59073359073359</v>
      </c>
    </row>
    <row r="102" spans="1:7" s="618" customFormat="1" ht="12.75" hidden="1">
      <c r="A102" s="249"/>
      <c r="B102" s="249"/>
      <c r="C102" s="249" t="s">
        <v>402</v>
      </c>
      <c r="D102" s="727" t="s">
        <v>529</v>
      </c>
      <c r="E102" s="725">
        <v>40000</v>
      </c>
      <c r="F102" s="846">
        <v>47300</v>
      </c>
      <c r="G102" s="859">
        <f t="shared" si="1"/>
        <v>118.25000000000001</v>
      </c>
    </row>
    <row r="103" spans="1:7" s="618" customFormat="1" ht="12.75" hidden="1">
      <c r="A103" s="249"/>
      <c r="B103" s="249"/>
      <c r="C103" s="249" t="s">
        <v>408</v>
      </c>
      <c r="D103" s="727" t="s">
        <v>530</v>
      </c>
      <c r="E103" s="725">
        <v>7000</v>
      </c>
      <c r="F103" s="846">
        <v>9000</v>
      </c>
      <c r="G103" s="859">
        <f t="shared" si="1"/>
        <v>128.57142857142858</v>
      </c>
    </row>
    <row r="104" spans="1:7" s="618" customFormat="1" ht="12.75" hidden="1">
      <c r="A104" s="249"/>
      <c r="B104" s="249"/>
      <c r="C104" s="249" t="s">
        <v>379</v>
      </c>
      <c r="D104" s="727" t="s">
        <v>385</v>
      </c>
      <c r="E104" s="725">
        <v>7650</v>
      </c>
      <c r="F104" s="846">
        <v>5000</v>
      </c>
      <c r="G104" s="859">
        <f t="shared" si="1"/>
        <v>65.359477124183</v>
      </c>
    </row>
    <row r="105" spans="1:7" s="618" customFormat="1" ht="12.75" hidden="1">
      <c r="A105" s="249"/>
      <c r="B105" s="249"/>
      <c r="C105" s="249" t="s">
        <v>531</v>
      </c>
      <c r="D105" s="727" t="s">
        <v>532</v>
      </c>
      <c r="E105" s="725">
        <v>210</v>
      </c>
      <c r="F105" s="846">
        <v>500</v>
      </c>
      <c r="G105" s="859">
        <f t="shared" si="1"/>
        <v>238.0952380952381</v>
      </c>
    </row>
    <row r="106" spans="1:7" s="618" customFormat="1" ht="12.75" hidden="1">
      <c r="A106" s="249"/>
      <c r="B106" s="249"/>
      <c r="C106" s="249" t="s">
        <v>378</v>
      </c>
      <c r="D106" s="727" t="s">
        <v>394</v>
      </c>
      <c r="E106" s="725">
        <v>80000</v>
      </c>
      <c r="F106" s="846">
        <v>65000</v>
      </c>
      <c r="G106" s="859">
        <f t="shared" si="1"/>
        <v>81.25</v>
      </c>
    </row>
    <row r="107" spans="1:7" s="618" customFormat="1" ht="12.75" hidden="1">
      <c r="A107" s="249"/>
      <c r="B107" s="249"/>
      <c r="C107" s="249" t="s">
        <v>533</v>
      </c>
      <c r="D107" s="727" t="s">
        <v>534</v>
      </c>
      <c r="E107" s="725">
        <v>3800</v>
      </c>
      <c r="F107" s="846">
        <v>4000</v>
      </c>
      <c r="G107" s="859">
        <f t="shared" si="1"/>
        <v>105.26315789473684</v>
      </c>
    </row>
    <row r="108" spans="1:7" s="618" customFormat="1" ht="12.75" hidden="1">
      <c r="A108" s="249"/>
      <c r="B108" s="249"/>
      <c r="C108" s="249"/>
      <c r="D108" s="727" t="s">
        <v>276</v>
      </c>
      <c r="E108" s="725"/>
      <c r="F108" s="846">
        <v>2160</v>
      </c>
      <c r="G108" s="859"/>
    </row>
    <row r="109" spans="1:7" s="618" customFormat="1" ht="25.5" hidden="1">
      <c r="A109" s="249"/>
      <c r="B109" s="249"/>
      <c r="C109" s="249" t="s">
        <v>535</v>
      </c>
      <c r="D109" s="727" t="s">
        <v>536</v>
      </c>
      <c r="E109" s="725">
        <v>16000</v>
      </c>
      <c r="F109" s="846">
        <v>16000</v>
      </c>
      <c r="G109" s="859"/>
    </row>
    <row r="110" spans="1:7" s="618" customFormat="1" ht="12.75" hidden="1">
      <c r="A110" s="249"/>
      <c r="B110" s="249"/>
      <c r="C110" s="249" t="s">
        <v>415</v>
      </c>
      <c r="D110" s="727" t="s">
        <v>537</v>
      </c>
      <c r="E110" s="725">
        <v>21600</v>
      </c>
      <c r="F110" s="846">
        <v>23000</v>
      </c>
      <c r="G110" s="859"/>
    </row>
    <row r="111" spans="1:7" s="618" customFormat="1" ht="12.75" hidden="1">
      <c r="A111" s="249"/>
      <c r="B111" s="249"/>
      <c r="C111" s="249" t="s">
        <v>538</v>
      </c>
      <c r="D111" s="727" t="s">
        <v>539</v>
      </c>
      <c r="E111" s="725">
        <v>26000</v>
      </c>
      <c r="F111" s="846">
        <v>25000</v>
      </c>
      <c r="G111" s="859">
        <f t="shared" si="1"/>
        <v>96.15384615384616</v>
      </c>
    </row>
    <row r="112" spans="1:7" s="618" customFormat="1" ht="12.75" hidden="1">
      <c r="A112" s="249"/>
      <c r="B112" s="249"/>
      <c r="C112" s="249" t="s">
        <v>540</v>
      </c>
      <c r="D112" s="727" t="s">
        <v>541</v>
      </c>
      <c r="E112" s="725">
        <v>2400</v>
      </c>
      <c r="F112" s="846">
        <v>2000</v>
      </c>
      <c r="G112" s="859">
        <f t="shared" si="1"/>
        <v>83.33333333333334</v>
      </c>
    </row>
    <row r="113" spans="1:7" s="618" customFormat="1" ht="25.5" hidden="1">
      <c r="A113" s="249"/>
      <c r="B113" s="249"/>
      <c r="C113" s="249" t="s">
        <v>542</v>
      </c>
      <c r="D113" s="727" t="s">
        <v>543</v>
      </c>
      <c r="E113" s="725">
        <v>19840</v>
      </c>
      <c r="F113" s="846">
        <v>21000</v>
      </c>
      <c r="G113" s="859">
        <f t="shared" si="1"/>
        <v>105.84677419354837</v>
      </c>
    </row>
    <row r="114" spans="1:7" s="618" customFormat="1" ht="25.5" hidden="1">
      <c r="A114" s="249"/>
      <c r="B114" s="249"/>
      <c r="C114" s="249" t="s">
        <v>544</v>
      </c>
      <c r="D114" s="727" t="s">
        <v>545</v>
      </c>
      <c r="E114" s="725">
        <v>5000</v>
      </c>
      <c r="F114" s="846">
        <v>5000</v>
      </c>
      <c r="G114" s="859"/>
    </row>
    <row r="115" spans="1:7" s="618" customFormat="1" ht="25.5" hidden="1">
      <c r="A115" s="249"/>
      <c r="B115" s="249"/>
      <c r="C115" s="249" t="s">
        <v>546</v>
      </c>
      <c r="D115" s="727" t="s">
        <v>547</v>
      </c>
      <c r="E115" s="725">
        <v>40000</v>
      </c>
      <c r="F115" s="846">
        <v>38000</v>
      </c>
      <c r="G115" s="859"/>
    </row>
    <row r="116" spans="1:7" s="618" customFormat="1" ht="12.75" hidden="1">
      <c r="A116" s="249"/>
      <c r="B116" s="249"/>
      <c r="C116" s="249"/>
      <c r="D116" s="727" t="s">
        <v>662</v>
      </c>
      <c r="E116" s="725">
        <v>11000</v>
      </c>
      <c r="F116" s="846">
        <v>11000</v>
      </c>
      <c r="G116" s="859"/>
    </row>
    <row r="117" spans="1:7" s="618" customFormat="1" ht="25.5" hidden="1">
      <c r="A117" s="249" t="s">
        <v>548</v>
      </c>
      <c r="B117" s="249"/>
      <c r="C117" s="249" t="s">
        <v>397</v>
      </c>
      <c r="D117" s="727" t="s">
        <v>417</v>
      </c>
      <c r="E117" s="725">
        <v>0</v>
      </c>
      <c r="F117" s="846">
        <v>298500</v>
      </c>
      <c r="G117" s="859"/>
    </row>
    <row r="118" spans="1:7" s="205" customFormat="1" ht="12.75">
      <c r="A118" s="175"/>
      <c r="B118" s="175" t="s">
        <v>188</v>
      </c>
      <c r="C118" s="175"/>
      <c r="D118" s="195" t="s">
        <v>189</v>
      </c>
      <c r="E118" s="184">
        <f>E119</f>
        <v>227</v>
      </c>
      <c r="F118" s="184">
        <f>F119</f>
        <v>0</v>
      </c>
      <c r="G118" s="186">
        <f aca="true" t="shared" si="2" ref="G118:G192">F118/E118*100</f>
        <v>0</v>
      </c>
    </row>
    <row r="119" spans="1:7" s="205" customFormat="1" ht="12.75">
      <c r="A119" s="489"/>
      <c r="B119" s="493" t="s">
        <v>376</v>
      </c>
      <c r="C119" s="494"/>
      <c r="D119" s="495" t="s">
        <v>377</v>
      </c>
      <c r="E119" s="496">
        <v>227</v>
      </c>
      <c r="F119" s="573">
        <v>0</v>
      </c>
      <c r="G119" s="498">
        <f t="shared" si="2"/>
        <v>0</v>
      </c>
    </row>
    <row r="120" spans="1:7" s="205" customFormat="1" ht="12.75">
      <c r="A120" s="175"/>
      <c r="B120" s="175" t="s">
        <v>549</v>
      </c>
      <c r="C120" s="175"/>
      <c r="D120" s="195" t="s">
        <v>178</v>
      </c>
      <c r="E120" s="491">
        <f>E121</f>
        <v>14000</v>
      </c>
      <c r="F120" s="491">
        <f>F121</f>
        <v>14800</v>
      </c>
      <c r="G120" s="492">
        <f t="shared" si="2"/>
        <v>105.71428571428572</v>
      </c>
    </row>
    <row r="121" spans="1:7" s="205" customFormat="1" ht="13.5" thickBot="1">
      <c r="A121" s="189"/>
      <c r="B121" s="196" t="s">
        <v>376</v>
      </c>
      <c r="C121" s="197"/>
      <c r="D121" s="198" t="s">
        <v>377</v>
      </c>
      <c r="E121" s="959">
        <v>14000</v>
      </c>
      <c r="F121" s="560">
        <v>14800</v>
      </c>
      <c r="G121" s="181">
        <f t="shared" si="2"/>
        <v>105.71428571428572</v>
      </c>
    </row>
    <row r="122" spans="1:7" s="205" customFormat="1" ht="13.5" hidden="1" thickBot="1">
      <c r="A122" s="189"/>
      <c r="B122" s="189"/>
      <c r="C122" s="189" t="s">
        <v>550</v>
      </c>
      <c r="D122" s="200" t="s">
        <v>551</v>
      </c>
      <c r="E122" s="201">
        <v>2650</v>
      </c>
      <c r="F122" s="569">
        <f>F121</f>
        <v>14800</v>
      </c>
      <c r="G122" s="581">
        <f t="shared" si="2"/>
        <v>558.4905660377358</v>
      </c>
    </row>
    <row r="123" spans="1:7" s="205" customFormat="1" ht="39" thickBot="1">
      <c r="A123" s="167" t="s">
        <v>552</v>
      </c>
      <c r="B123" s="167"/>
      <c r="C123" s="167"/>
      <c r="D123" s="168" t="s">
        <v>216</v>
      </c>
      <c r="E123" s="206">
        <f>E124+E129</f>
        <v>2863</v>
      </c>
      <c r="F123" s="206">
        <f>F124+F129</f>
        <v>720</v>
      </c>
      <c r="G123" s="170">
        <f t="shared" si="2"/>
        <v>25.148445686342995</v>
      </c>
    </row>
    <row r="124" spans="1:7" s="205" customFormat="1" ht="25.5">
      <c r="A124" s="171"/>
      <c r="B124" s="171" t="s">
        <v>553</v>
      </c>
      <c r="C124" s="171"/>
      <c r="D124" s="172" t="s">
        <v>217</v>
      </c>
      <c r="E124" s="173">
        <v>648</v>
      </c>
      <c r="F124" s="173">
        <v>720</v>
      </c>
      <c r="G124" s="174">
        <f t="shared" si="2"/>
        <v>111.11111111111111</v>
      </c>
    </row>
    <row r="125" spans="1:7" s="205" customFormat="1" ht="12.75">
      <c r="A125" s="489"/>
      <c r="B125" s="493" t="s">
        <v>376</v>
      </c>
      <c r="C125" s="494"/>
      <c r="D125" s="495" t="s">
        <v>391</v>
      </c>
      <c r="E125" s="496">
        <v>648</v>
      </c>
      <c r="F125" s="496">
        <v>720</v>
      </c>
      <c r="G125" s="498">
        <f t="shared" si="2"/>
        <v>111.11111111111111</v>
      </c>
    </row>
    <row r="126" spans="1:7" s="205" customFormat="1" ht="12.75" hidden="1">
      <c r="A126" s="175"/>
      <c r="B126" s="599" t="s">
        <v>658</v>
      </c>
      <c r="C126" s="197"/>
      <c r="D126" s="195" t="s">
        <v>655</v>
      </c>
      <c r="E126" s="491">
        <v>0</v>
      </c>
      <c r="F126" s="491">
        <v>0</v>
      </c>
      <c r="G126" s="600" t="e">
        <f t="shared" si="2"/>
        <v>#DIV/0!</v>
      </c>
    </row>
    <row r="127" spans="1:7" s="205" customFormat="1" ht="12.75" hidden="1">
      <c r="A127" s="182"/>
      <c r="B127" s="176" t="s">
        <v>652</v>
      </c>
      <c r="C127" s="177"/>
      <c r="D127" s="178" t="s">
        <v>377</v>
      </c>
      <c r="E127" s="179">
        <v>0</v>
      </c>
      <c r="F127" s="179">
        <v>0</v>
      </c>
      <c r="G127" s="181" t="e">
        <f t="shared" si="2"/>
        <v>#DIV/0!</v>
      </c>
    </row>
    <row r="128" spans="1:7" s="205" customFormat="1" ht="12.75" hidden="1">
      <c r="A128" s="489"/>
      <c r="B128" s="493"/>
      <c r="C128" s="494"/>
      <c r="D128" s="495" t="s">
        <v>391</v>
      </c>
      <c r="E128" s="496">
        <v>0</v>
      </c>
      <c r="F128" s="496">
        <v>0</v>
      </c>
      <c r="G128" s="498" t="e">
        <f t="shared" si="2"/>
        <v>#DIV/0!</v>
      </c>
    </row>
    <row r="129" spans="1:7" s="205" customFormat="1" ht="51" customHeight="1">
      <c r="A129" s="175"/>
      <c r="B129" s="175" t="s">
        <v>554</v>
      </c>
      <c r="C129" s="175"/>
      <c r="D129" s="195" t="s">
        <v>555</v>
      </c>
      <c r="E129" s="491">
        <f>E130+E131</f>
        <v>2215</v>
      </c>
      <c r="F129" s="491">
        <v>0</v>
      </c>
      <c r="G129" s="492">
        <f t="shared" si="2"/>
        <v>0</v>
      </c>
    </row>
    <row r="130" spans="1:7" s="205" customFormat="1" ht="12.75">
      <c r="A130" s="182"/>
      <c r="B130" s="196" t="s">
        <v>376</v>
      </c>
      <c r="C130" s="197"/>
      <c r="D130" s="198" t="s">
        <v>377</v>
      </c>
      <c r="E130" s="179">
        <f>2215-250</f>
        <v>1965</v>
      </c>
      <c r="F130" s="179">
        <f>F129</f>
        <v>0</v>
      </c>
      <c r="G130" s="181">
        <f t="shared" si="2"/>
        <v>0</v>
      </c>
    </row>
    <row r="131" spans="1:7" s="205" customFormat="1" ht="13.5" thickBot="1">
      <c r="A131" s="189"/>
      <c r="B131" s="558"/>
      <c r="C131" s="222"/>
      <c r="D131" s="223" t="s">
        <v>391</v>
      </c>
      <c r="E131" s="559">
        <f>212+6+32</f>
        <v>250</v>
      </c>
      <c r="F131" s="559">
        <v>0</v>
      </c>
      <c r="G131" s="181">
        <f t="shared" si="2"/>
        <v>0</v>
      </c>
    </row>
    <row r="132" spans="1:7" s="205" customFormat="1" ht="26.25" thickBot="1">
      <c r="A132" s="167" t="s">
        <v>556</v>
      </c>
      <c r="B132" s="167"/>
      <c r="C132" s="167"/>
      <c r="D132" s="168" t="s">
        <v>339</v>
      </c>
      <c r="E132" s="206">
        <f>E133+E136+E138+E140+E158+E162+E160</f>
        <v>190222</v>
      </c>
      <c r="F132" s="206">
        <f>F133+F136+F138+F140+F158+F162+F160</f>
        <v>170400</v>
      </c>
      <c r="G132" s="170">
        <f t="shared" si="2"/>
        <v>89.57954390133634</v>
      </c>
    </row>
    <row r="133" spans="1:7" s="205" customFormat="1" ht="12.75">
      <c r="A133" s="207"/>
      <c r="B133" s="171" t="s">
        <v>190</v>
      </c>
      <c r="C133" s="171"/>
      <c r="D133" s="172" t="s">
        <v>191</v>
      </c>
      <c r="E133" s="173">
        <f>SUM(E134:E135)</f>
        <v>6500</v>
      </c>
      <c r="F133" s="173">
        <f>SUM(F134:F135)</f>
        <v>0</v>
      </c>
      <c r="G133" s="174">
        <f t="shared" si="2"/>
        <v>0</v>
      </c>
    </row>
    <row r="134" spans="1:7" s="205" customFormat="1" ht="12.75">
      <c r="A134" s="844"/>
      <c r="B134" s="176" t="s">
        <v>376</v>
      </c>
      <c r="C134" s="177"/>
      <c r="D134" s="178" t="s">
        <v>377</v>
      </c>
      <c r="E134" s="179">
        <v>1000</v>
      </c>
      <c r="F134" s="180">
        <v>0</v>
      </c>
      <c r="G134" s="181">
        <f t="shared" si="2"/>
        <v>0</v>
      </c>
    </row>
    <row r="135" spans="1:7" s="205" customFormat="1" ht="12.75">
      <c r="A135" s="843"/>
      <c r="B135" s="602"/>
      <c r="C135" s="603"/>
      <c r="D135" s="604" t="s">
        <v>384</v>
      </c>
      <c r="E135" s="813">
        <v>5500</v>
      </c>
      <c r="F135" s="605">
        <v>0</v>
      </c>
      <c r="G135" s="181">
        <f t="shared" si="2"/>
        <v>0</v>
      </c>
    </row>
    <row r="136" spans="1:7" s="205" customFormat="1" ht="12.75">
      <c r="A136" s="175"/>
      <c r="B136" s="175" t="s">
        <v>557</v>
      </c>
      <c r="C136" s="175"/>
      <c r="D136" s="195" t="s">
        <v>558</v>
      </c>
      <c r="E136" s="491">
        <f>E137</f>
        <v>1000</v>
      </c>
      <c r="F136" s="491">
        <f>F137</f>
        <v>0</v>
      </c>
      <c r="G136" s="600">
        <f t="shared" si="2"/>
        <v>0</v>
      </c>
    </row>
    <row r="137" spans="1:7" s="205" customFormat="1" ht="12.75">
      <c r="A137" s="489"/>
      <c r="B137" s="493" t="s">
        <v>376</v>
      </c>
      <c r="C137" s="494"/>
      <c r="D137" s="495" t="s">
        <v>377</v>
      </c>
      <c r="E137" s="496">
        <v>1000</v>
      </c>
      <c r="F137" s="573">
        <v>0</v>
      </c>
      <c r="G137" s="498">
        <f t="shared" si="2"/>
        <v>0</v>
      </c>
    </row>
    <row r="138" spans="1:7" s="205" customFormat="1" ht="25.5">
      <c r="A138" s="189"/>
      <c r="B138" s="175" t="s">
        <v>192</v>
      </c>
      <c r="C138" s="175"/>
      <c r="D138" s="195" t="s">
        <v>193</v>
      </c>
      <c r="E138" s="491">
        <f>E139</f>
        <v>4000</v>
      </c>
      <c r="F138" s="568">
        <v>0</v>
      </c>
      <c r="G138" s="600">
        <f>F138/E138*100</f>
        <v>0</v>
      </c>
    </row>
    <row r="139" spans="1:7" s="205" customFormat="1" ht="12.75">
      <c r="A139" s="189"/>
      <c r="B139" s="493" t="s">
        <v>376</v>
      </c>
      <c r="C139" s="494"/>
      <c r="D139" s="495" t="s">
        <v>384</v>
      </c>
      <c r="E139" s="496">
        <v>4000</v>
      </c>
      <c r="F139" s="573">
        <v>0</v>
      </c>
      <c r="G139" s="498">
        <f>F139/E139*100</f>
        <v>0</v>
      </c>
    </row>
    <row r="140" spans="1:7" s="205" customFormat="1" ht="12.75">
      <c r="A140" s="175"/>
      <c r="B140" s="175" t="s">
        <v>559</v>
      </c>
      <c r="C140" s="175"/>
      <c r="D140" s="195" t="s">
        <v>340</v>
      </c>
      <c r="E140" s="491">
        <f>SUM(E144:E157)</f>
        <v>173482</v>
      </c>
      <c r="F140" s="568">
        <f>F141+F142+F143</f>
        <v>169700</v>
      </c>
      <c r="G140" s="492">
        <f t="shared" si="2"/>
        <v>97.81994673799011</v>
      </c>
    </row>
    <row r="141" spans="1:7" s="205" customFormat="1" ht="12.75">
      <c r="A141" s="182"/>
      <c r="B141" s="176" t="s">
        <v>376</v>
      </c>
      <c r="C141" s="177"/>
      <c r="D141" s="178" t="s">
        <v>377</v>
      </c>
      <c r="E141" s="180">
        <f>E144++E148+E149+E150+E152+E153+E154+E155+E151</f>
        <v>121882</v>
      </c>
      <c r="F141" s="180">
        <f>129700-26200</f>
        <v>103500</v>
      </c>
      <c r="G141" s="181">
        <f t="shared" si="2"/>
        <v>84.91819957007598</v>
      </c>
    </row>
    <row r="142" spans="1:7" s="205" customFormat="1" ht="12.75">
      <c r="A142" s="182"/>
      <c r="B142" s="177"/>
      <c r="C142" s="177"/>
      <c r="D142" s="178" t="s">
        <v>391</v>
      </c>
      <c r="E142" s="180">
        <f>E145+E146+E147</f>
        <v>25100</v>
      </c>
      <c r="F142" s="180">
        <v>26200</v>
      </c>
      <c r="G142" s="181">
        <f t="shared" si="2"/>
        <v>104.38247011952191</v>
      </c>
    </row>
    <row r="143" spans="1:8" s="205" customFormat="1" ht="12.75">
      <c r="A143" s="489"/>
      <c r="B143" s="494"/>
      <c r="C143" s="494"/>
      <c r="D143" s="495" t="s">
        <v>384</v>
      </c>
      <c r="E143" s="573">
        <f>E156+E157</f>
        <v>26500</v>
      </c>
      <c r="F143" s="573">
        <v>40000</v>
      </c>
      <c r="G143" s="498">
        <f t="shared" si="2"/>
        <v>150.9433962264151</v>
      </c>
      <c r="H143" s="582"/>
    </row>
    <row r="144" spans="1:7" s="618" customFormat="1" ht="25.5" hidden="1">
      <c r="A144" s="249"/>
      <c r="B144" s="249"/>
      <c r="C144" s="249" t="s">
        <v>432</v>
      </c>
      <c r="D144" s="727" t="s">
        <v>560</v>
      </c>
      <c r="E144" s="491">
        <v>25000</v>
      </c>
      <c r="F144" s="568">
        <v>8000</v>
      </c>
      <c r="G144" s="847">
        <f t="shared" si="2"/>
        <v>32</v>
      </c>
    </row>
    <row r="145" spans="1:7" s="617" customFormat="1" ht="11.25" hidden="1">
      <c r="A145" s="616"/>
      <c r="B145" s="616"/>
      <c r="C145" s="616" t="s">
        <v>436</v>
      </c>
      <c r="D145" s="848"/>
      <c r="E145" s="960">
        <v>0</v>
      </c>
      <c r="F145" s="570">
        <v>0</v>
      </c>
      <c r="G145" s="851"/>
    </row>
    <row r="146" spans="1:7" s="617" customFormat="1" ht="11.25" hidden="1">
      <c r="A146" s="616"/>
      <c r="B146" s="616"/>
      <c r="C146" s="616" t="s">
        <v>438</v>
      </c>
      <c r="D146" s="848" t="s">
        <v>561</v>
      </c>
      <c r="E146" s="960">
        <v>1600</v>
      </c>
      <c r="F146" s="570">
        <v>1620</v>
      </c>
      <c r="G146" s="851">
        <f t="shared" si="2"/>
        <v>101.25</v>
      </c>
    </row>
    <row r="147" spans="1:7" s="617" customFormat="1" ht="11.25" hidden="1">
      <c r="A147" s="616"/>
      <c r="B147" s="616"/>
      <c r="C147" s="616" t="s">
        <v>442</v>
      </c>
      <c r="D147" s="848" t="s">
        <v>528</v>
      </c>
      <c r="E147" s="960">
        <v>23500</v>
      </c>
      <c r="F147" s="570">
        <v>22100</v>
      </c>
      <c r="G147" s="851">
        <f t="shared" si="2"/>
        <v>94.04255319148936</v>
      </c>
    </row>
    <row r="148" spans="1:7" s="617" customFormat="1" ht="11.25" hidden="1">
      <c r="A148" s="616"/>
      <c r="B148" s="616"/>
      <c r="C148" s="616" t="s">
        <v>402</v>
      </c>
      <c r="D148" s="848" t="s">
        <v>407</v>
      </c>
      <c r="E148" s="960">
        <v>35000</v>
      </c>
      <c r="F148" s="570">
        <v>23500</v>
      </c>
      <c r="G148" s="851">
        <f t="shared" si="2"/>
        <v>67.14285714285714</v>
      </c>
    </row>
    <row r="149" spans="1:7" s="617" customFormat="1" ht="11.25" hidden="1">
      <c r="A149" s="616"/>
      <c r="B149" s="616"/>
      <c r="C149" s="616" t="s">
        <v>408</v>
      </c>
      <c r="D149" s="848" t="s">
        <v>562</v>
      </c>
      <c r="E149" s="960">
        <v>7000</v>
      </c>
      <c r="F149" s="570">
        <v>6000</v>
      </c>
      <c r="G149" s="851">
        <f t="shared" si="2"/>
        <v>85.71428571428571</v>
      </c>
    </row>
    <row r="150" spans="1:7" s="617" customFormat="1" ht="11.25" hidden="1">
      <c r="A150" s="616"/>
      <c r="B150" s="616"/>
      <c r="C150" s="616" t="s">
        <v>531</v>
      </c>
      <c r="D150" s="848" t="s">
        <v>532</v>
      </c>
      <c r="E150" s="960">
        <v>200</v>
      </c>
      <c r="F150" s="570">
        <v>15000</v>
      </c>
      <c r="G150" s="851">
        <f t="shared" si="2"/>
        <v>7500</v>
      </c>
    </row>
    <row r="151" spans="1:7" s="617" customFormat="1" ht="11.25" hidden="1">
      <c r="A151" s="616"/>
      <c r="B151" s="616"/>
      <c r="C151" s="616"/>
      <c r="D151" s="848" t="s">
        <v>385</v>
      </c>
      <c r="E151" s="960">
        <v>22912</v>
      </c>
      <c r="F151" s="570"/>
      <c r="G151" s="851"/>
    </row>
    <row r="152" spans="1:7" s="617" customFormat="1" ht="11.25" hidden="1">
      <c r="A152" s="616"/>
      <c r="B152" s="616"/>
      <c r="C152" s="616" t="s">
        <v>378</v>
      </c>
      <c r="D152" s="848" t="s">
        <v>394</v>
      </c>
      <c r="E152" s="960">
        <v>29000</v>
      </c>
      <c r="F152" s="570">
        <v>13050</v>
      </c>
      <c r="G152" s="851">
        <f t="shared" si="2"/>
        <v>45</v>
      </c>
    </row>
    <row r="153" spans="1:7" s="617" customFormat="1" ht="11.25" hidden="1">
      <c r="A153" s="616"/>
      <c r="B153" s="616"/>
      <c r="C153" s="616" t="s">
        <v>538</v>
      </c>
      <c r="D153" s="848" t="s">
        <v>539</v>
      </c>
      <c r="E153" s="960">
        <v>200</v>
      </c>
      <c r="F153" s="570">
        <v>2000</v>
      </c>
      <c r="G153" s="851">
        <f t="shared" si="2"/>
        <v>1000</v>
      </c>
    </row>
    <row r="154" spans="1:7" s="617" customFormat="1" ht="11.25" hidden="1">
      <c r="A154" s="616"/>
      <c r="B154" s="616"/>
      <c r="C154" s="616" t="s">
        <v>540</v>
      </c>
      <c r="D154" s="848" t="s">
        <v>541</v>
      </c>
      <c r="E154" s="960">
        <v>0</v>
      </c>
      <c r="F154" s="570">
        <v>1000</v>
      </c>
      <c r="G154" s="851"/>
    </row>
    <row r="155" spans="1:7" s="617" customFormat="1" ht="11.25" hidden="1">
      <c r="A155" s="616"/>
      <c r="B155" s="616"/>
      <c r="C155" s="616" t="s">
        <v>550</v>
      </c>
      <c r="D155" s="848" t="s">
        <v>563</v>
      </c>
      <c r="E155" s="960">
        <v>2570</v>
      </c>
      <c r="F155" s="570">
        <v>6250</v>
      </c>
      <c r="G155" s="851">
        <f t="shared" si="2"/>
        <v>243.1906614785992</v>
      </c>
    </row>
    <row r="156" spans="1:7" s="617" customFormat="1" ht="11.25" hidden="1">
      <c r="A156" s="616"/>
      <c r="B156" s="616"/>
      <c r="C156" s="616" t="s">
        <v>386</v>
      </c>
      <c r="D156" s="848" t="s">
        <v>387</v>
      </c>
      <c r="E156" s="960">
        <v>26500</v>
      </c>
      <c r="F156" s="570">
        <v>30000</v>
      </c>
      <c r="G156" s="851"/>
    </row>
    <row r="157" spans="1:7" s="617" customFormat="1" ht="22.5" hidden="1">
      <c r="A157" s="616"/>
      <c r="B157" s="616"/>
      <c r="C157" s="616" t="s">
        <v>397</v>
      </c>
      <c r="D157" s="848" t="s">
        <v>570</v>
      </c>
      <c r="E157" s="960">
        <v>0</v>
      </c>
      <c r="F157" s="570">
        <v>0</v>
      </c>
      <c r="G157" s="851" t="e">
        <f t="shared" si="2"/>
        <v>#DIV/0!</v>
      </c>
    </row>
    <row r="158" spans="1:7" s="205" customFormat="1" ht="12.75">
      <c r="A158" s="182"/>
      <c r="B158" s="182" t="s">
        <v>571</v>
      </c>
      <c r="C158" s="182"/>
      <c r="D158" s="183" t="s">
        <v>572</v>
      </c>
      <c r="E158" s="184">
        <f>E159</f>
        <v>40</v>
      </c>
      <c r="F158" s="184">
        <f>F159</f>
        <v>700</v>
      </c>
      <c r="G158" s="186">
        <f t="shared" si="2"/>
        <v>1750</v>
      </c>
    </row>
    <row r="159" spans="1:7" s="205" customFormat="1" ht="12.75">
      <c r="A159" s="601"/>
      <c r="B159" s="602" t="s">
        <v>376</v>
      </c>
      <c r="C159" s="603"/>
      <c r="D159" s="604" t="s">
        <v>377</v>
      </c>
      <c r="E159" s="605">
        <v>40</v>
      </c>
      <c r="F159" s="605">
        <v>700</v>
      </c>
      <c r="G159" s="606">
        <f>F159/E159*100</f>
        <v>1750</v>
      </c>
    </row>
    <row r="160" spans="1:7" s="205" customFormat="1" ht="12.75">
      <c r="A160" s="189"/>
      <c r="B160" s="175" t="s">
        <v>194</v>
      </c>
      <c r="C160" s="175"/>
      <c r="D160" s="195" t="s">
        <v>195</v>
      </c>
      <c r="E160" s="491">
        <f>E161</f>
        <v>4200</v>
      </c>
      <c r="F160" s="491">
        <f>F161</f>
        <v>0</v>
      </c>
      <c r="G160" s="492">
        <f>F160/E160*100</f>
        <v>0</v>
      </c>
    </row>
    <row r="161" spans="1:7" s="205" customFormat="1" ht="12.75">
      <c r="A161" s="189"/>
      <c r="B161" s="196" t="s">
        <v>376</v>
      </c>
      <c r="C161" s="197"/>
      <c r="D161" s="198" t="s">
        <v>377</v>
      </c>
      <c r="E161" s="199">
        <v>4200</v>
      </c>
      <c r="F161" s="199">
        <v>0</v>
      </c>
      <c r="G161" s="204">
        <f>F161/E161*100</f>
        <v>0</v>
      </c>
    </row>
    <row r="162" spans="1:7" s="205" customFormat="1" ht="12.75">
      <c r="A162" s="175"/>
      <c r="B162" s="175" t="s">
        <v>196</v>
      </c>
      <c r="C162" s="175"/>
      <c r="D162" s="195" t="s">
        <v>178</v>
      </c>
      <c r="E162" s="491">
        <f>E163</f>
        <v>1000</v>
      </c>
      <c r="F162" s="491">
        <f>F163</f>
        <v>0</v>
      </c>
      <c r="G162" s="492">
        <f t="shared" si="2"/>
        <v>0</v>
      </c>
    </row>
    <row r="163" spans="1:7" s="205" customFormat="1" ht="13.5" thickBot="1">
      <c r="A163" s="189"/>
      <c r="B163" s="196" t="s">
        <v>376</v>
      </c>
      <c r="C163" s="197"/>
      <c r="D163" s="198" t="s">
        <v>121</v>
      </c>
      <c r="E163" s="199">
        <v>1000</v>
      </c>
      <c r="F163" s="199">
        <v>0</v>
      </c>
      <c r="G163" s="204">
        <f t="shared" si="2"/>
        <v>0</v>
      </c>
    </row>
    <row r="164" spans="1:7" s="205" customFormat="1" ht="53.25" customHeight="1" thickBot="1">
      <c r="A164" s="167" t="s">
        <v>574</v>
      </c>
      <c r="B164" s="167"/>
      <c r="C164" s="167"/>
      <c r="D164" s="168" t="s">
        <v>218</v>
      </c>
      <c r="E164" s="206">
        <f>E165</f>
        <v>26345</v>
      </c>
      <c r="F164" s="169">
        <f>F165</f>
        <v>29650</v>
      </c>
      <c r="G164" s="170">
        <f t="shared" si="2"/>
        <v>112.54507496678687</v>
      </c>
    </row>
    <row r="165" spans="1:8" s="205" customFormat="1" ht="27" customHeight="1">
      <c r="A165" s="175"/>
      <c r="B165" s="175" t="s">
        <v>575</v>
      </c>
      <c r="C165" s="175"/>
      <c r="D165" s="195" t="s">
        <v>576</v>
      </c>
      <c r="E165" s="184">
        <f>E166+E167</f>
        <v>26345</v>
      </c>
      <c r="F165" s="184">
        <f>F166+F167</f>
        <v>29650</v>
      </c>
      <c r="G165" s="174">
        <f t="shared" si="2"/>
        <v>112.54507496678687</v>
      </c>
      <c r="H165" s="582"/>
    </row>
    <row r="166" spans="1:7" s="205" customFormat="1" ht="12.75">
      <c r="A166" s="175"/>
      <c r="B166" s="196" t="s">
        <v>376</v>
      </c>
      <c r="C166" s="197"/>
      <c r="D166" s="198" t="s">
        <v>377</v>
      </c>
      <c r="E166" s="199">
        <f>SUM(E172:E176)</f>
        <v>10375</v>
      </c>
      <c r="F166" s="199">
        <f>SUM(F172:F176)</f>
        <v>10900</v>
      </c>
      <c r="G166" s="181">
        <f>F166/E166*100</f>
        <v>105.06024096385542</v>
      </c>
    </row>
    <row r="167" spans="1:7" s="205" customFormat="1" ht="13.5" thickBot="1">
      <c r="A167" s="175"/>
      <c r="B167" s="197"/>
      <c r="C167" s="197"/>
      <c r="D167" s="198" t="s">
        <v>391</v>
      </c>
      <c r="E167" s="199">
        <f>E169+E170+E171</f>
        <v>15970</v>
      </c>
      <c r="F167" s="199">
        <f>F169+F170+F171</f>
        <v>18750</v>
      </c>
      <c r="G167" s="181">
        <f>F167/E167*100</f>
        <v>117.407639323732</v>
      </c>
    </row>
    <row r="168" spans="1:7" s="617" customFormat="1" ht="11.25" hidden="1">
      <c r="A168" s="616"/>
      <c r="B168" s="616"/>
      <c r="C168" s="616" t="s">
        <v>432</v>
      </c>
      <c r="D168" s="848" t="s">
        <v>577</v>
      </c>
      <c r="E168" s="849">
        <f>F168+L168</f>
        <v>0</v>
      </c>
      <c r="F168" s="850">
        <v>0</v>
      </c>
      <c r="G168" s="851" t="e">
        <f t="shared" si="2"/>
        <v>#DIV/0!</v>
      </c>
    </row>
    <row r="169" spans="1:7" s="617" customFormat="1" ht="11.25" hidden="1">
      <c r="A169" s="616"/>
      <c r="B169" s="616"/>
      <c r="C169" s="616" t="s">
        <v>434</v>
      </c>
      <c r="D169" s="848" t="s">
        <v>578</v>
      </c>
      <c r="E169" s="849">
        <v>15500</v>
      </c>
      <c r="F169" s="850">
        <v>18000</v>
      </c>
      <c r="G169" s="851">
        <f t="shared" si="2"/>
        <v>116.12903225806453</v>
      </c>
    </row>
    <row r="170" spans="1:7" s="617" customFormat="1" ht="11.25" hidden="1">
      <c r="A170" s="616"/>
      <c r="B170" s="616"/>
      <c r="C170" s="616" t="s">
        <v>438</v>
      </c>
      <c r="D170" s="848" t="s">
        <v>579</v>
      </c>
      <c r="E170" s="849">
        <v>20</v>
      </c>
      <c r="F170" s="850">
        <v>250</v>
      </c>
      <c r="G170" s="851">
        <f t="shared" si="2"/>
        <v>1250</v>
      </c>
    </row>
    <row r="171" spans="1:7" s="617" customFormat="1" ht="11.25" hidden="1">
      <c r="A171" s="616"/>
      <c r="B171" s="616"/>
      <c r="C171" s="616" t="s">
        <v>442</v>
      </c>
      <c r="D171" s="848" t="s">
        <v>528</v>
      </c>
      <c r="E171" s="849">
        <v>450</v>
      </c>
      <c r="F171" s="850">
        <v>500</v>
      </c>
      <c r="G171" s="851">
        <f t="shared" si="2"/>
        <v>111.11111111111111</v>
      </c>
    </row>
    <row r="172" spans="1:7" s="617" customFormat="1" ht="11.25" hidden="1">
      <c r="A172" s="616"/>
      <c r="B172" s="616"/>
      <c r="C172" s="616" t="s">
        <v>402</v>
      </c>
      <c r="D172" s="848" t="s">
        <v>407</v>
      </c>
      <c r="E172" s="849">
        <v>1000</v>
      </c>
      <c r="F172" s="850">
        <v>1500</v>
      </c>
      <c r="G172" s="851">
        <f t="shared" si="2"/>
        <v>150</v>
      </c>
    </row>
    <row r="173" spans="1:7" s="617" customFormat="1" ht="11.25" hidden="1">
      <c r="A173" s="616"/>
      <c r="B173" s="616"/>
      <c r="C173" s="616" t="s">
        <v>378</v>
      </c>
      <c r="D173" s="848" t="s">
        <v>390</v>
      </c>
      <c r="E173" s="849">
        <v>8000</v>
      </c>
      <c r="F173" s="850">
        <v>6000</v>
      </c>
      <c r="G173" s="851">
        <f t="shared" si="2"/>
        <v>75</v>
      </c>
    </row>
    <row r="174" spans="1:7" s="617" customFormat="1" ht="22.5" hidden="1">
      <c r="A174" s="616"/>
      <c r="B174" s="616"/>
      <c r="C174" s="616" t="s">
        <v>580</v>
      </c>
      <c r="D174" s="848" t="s">
        <v>536</v>
      </c>
      <c r="E174" s="849">
        <v>500</v>
      </c>
      <c r="F174" s="850">
        <v>1500</v>
      </c>
      <c r="G174" s="851"/>
    </row>
    <row r="175" spans="1:7" s="617" customFormat="1" ht="22.5" hidden="1">
      <c r="A175" s="852"/>
      <c r="B175" s="852"/>
      <c r="C175" s="852"/>
      <c r="D175" s="853" t="s">
        <v>581</v>
      </c>
      <c r="E175" s="854">
        <v>275</v>
      </c>
      <c r="F175" s="939">
        <v>400</v>
      </c>
      <c r="G175" s="856"/>
    </row>
    <row r="176" spans="1:7" s="617" customFormat="1" ht="12" hidden="1" thickBot="1">
      <c r="A176" s="852"/>
      <c r="B176" s="852"/>
      <c r="C176" s="852" t="s">
        <v>544</v>
      </c>
      <c r="D176" s="853" t="s">
        <v>289</v>
      </c>
      <c r="E176" s="854">
        <v>600</v>
      </c>
      <c r="F176" s="855">
        <v>1500</v>
      </c>
      <c r="G176" s="857"/>
    </row>
    <row r="177" spans="1:7" s="205" customFormat="1" ht="13.5" thickBot="1">
      <c r="A177" s="167" t="s">
        <v>582</v>
      </c>
      <c r="B177" s="167"/>
      <c r="C177" s="167"/>
      <c r="D177" s="168" t="s">
        <v>583</v>
      </c>
      <c r="E177" s="206">
        <f>E178</f>
        <v>85000</v>
      </c>
      <c r="F177" s="169">
        <f>F178</f>
        <v>140000</v>
      </c>
      <c r="G177" s="170">
        <f t="shared" si="2"/>
        <v>164.70588235294116</v>
      </c>
    </row>
    <row r="178" spans="1:7" s="205" customFormat="1" ht="25.5">
      <c r="A178" s="175"/>
      <c r="B178" s="175" t="s">
        <v>584</v>
      </c>
      <c r="C178" s="175"/>
      <c r="D178" s="195" t="s">
        <v>585</v>
      </c>
      <c r="E178" s="184">
        <f>E179</f>
        <v>85000</v>
      </c>
      <c r="F178" s="184">
        <f>F179</f>
        <v>140000</v>
      </c>
      <c r="G178" s="174">
        <f t="shared" si="2"/>
        <v>164.70588235294116</v>
      </c>
    </row>
    <row r="179" spans="1:7" s="205" customFormat="1" ht="13.5" thickBot="1">
      <c r="A179" s="175"/>
      <c r="B179" s="196" t="s">
        <v>376</v>
      </c>
      <c r="C179" s="197"/>
      <c r="D179" s="198" t="s">
        <v>586</v>
      </c>
      <c r="E179" s="179">
        <v>85000</v>
      </c>
      <c r="F179" s="199">
        <v>140000</v>
      </c>
      <c r="G179" s="181">
        <f t="shared" si="2"/>
        <v>164.70588235294116</v>
      </c>
    </row>
    <row r="180" spans="1:7" s="589" customFormat="1" ht="33.75" hidden="1">
      <c r="A180" s="583"/>
      <c r="B180" s="583"/>
      <c r="C180" s="583" t="s">
        <v>587</v>
      </c>
      <c r="D180" s="584" t="s">
        <v>588</v>
      </c>
      <c r="E180" s="960">
        <v>40000</v>
      </c>
      <c r="F180" s="570"/>
      <c r="G180" s="585">
        <f t="shared" si="2"/>
        <v>0</v>
      </c>
    </row>
    <row r="181" spans="1:7" s="589" customFormat="1" ht="34.5" hidden="1" thickBot="1">
      <c r="A181" s="586"/>
      <c r="B181" s="586"/>
      <c r="C181" s="586" t="s">
        <v>589</v>
      </c>
      <c r="D181" s="587" t="s">
        <v>588</v>
      </c>
      <c r="E181" s="961">
        <v>0</v>
      </c>
      <c r="F181" s="571"/>
      <c r="G181" s="588"/>
    </row>
    <row r="182" spans="1:7" s="205" customFormat="1" ht="13.5" thickBot="1">
      <c r="A182" s="167" t="s">
        <v>590</v>
      </c>
      <c r="B182" s="167"/>
      <c r="C182" s="167"/>
      <c r="D182" s="168" t="s">
        <v>258</v>
      </c>
      <c r="E182" s="206">
        <f>E183</f>
        <v>0</v>
      </c>
      <c r="F182" s="169">
        <f>F183</f>
        <v>143075</v>
      </c>
      <c r="G182" s="578" t="s">
        <v>810</v>
      </c>
    </row>
    <row r="183" spans="1:7" s="205" customFormat="1" ht="12.75">
      <c r="A183" s="175"/>
      <c r="B183" s="175" t="s">
        <v>591</v>
      </c>
      <c r="C183" s="175"/>
      <c r="D183" s="195" t="s">
        <v>592</v>
      </c>
      <c r="E183" s="184">
        <f>E184+E185</f>
        <v>0</v>
      </c>
      <c r="F183" s="185">
        <f>F184+F185</f>
        <v>143075</v>
      </c>
      <c r="G183" s="490" t="s">
        <v>810</v>
      </c>
    </row>
    <row r="184" spans="1:7" s="205" customFormat="1" ht="12.75">
      <c r="A184" s="175"/>
      <c r="B184" s="175"/>
      <c r="C184" s="175" t="s">
        <v>593</v>
      </c>
      <c r="D184" s="195" t="s">
        <v>594</v>
      </c>
      <c r="E184" s="184">
        <v>0</v>
      </c>
      <c r="F184" s="568">
        <v>93075</v>
      </c>
      <c r="G184" s="576" t="s">
        <v>810</v>
      </c>
    </row>
    <row r="185" spans="1:7" s="205" customFormat="1" ht="13.5" customHeight="1" thickBot="1">
      <c r="A185" s="189"/>
      <c r="B185" s="189"/>
      <c r="C185" s="189" t="s">
        <v>595</v>
      </c>
      <c r="D185" s="200" t="s">
        <v>596</v>
      </c>
      <c r="E185" s="201">
        <v>0</v>
      </c>
      <c r="F185" s="569">
        <v>50000</v>
      </c>
      <c r="G185" s="577" t="s">
        <v>810</v>
      </c>
    </row>
    <row r="186" spans="1:9" s="205" customFormat="1" ht="13.5" thickBot="1">
      <c r="A186" s="167" t="s">
        <v>597</v>
      </c>
      <c r="B186" s="167"/>
      <c r="C186" s="167"/>
      <c r="D186" s="168" t="s">
        <v>263</v>
      </c>
      <c r="E186" s="169">
        <f>E187+E191+E194+E198+E201+E204+E206+E209</f>
        <v>3112271</v>
      </c>
      <c r="F186" s="169">
        <f>F187+F191+F194+F198+F201+F204+F206+F209</f>
        <v>3328100</v>
      </c>
      <c r="G186" s="170">
        <f t="shared" si="2"/>
        <v>106.93477528145846</v>
      </c>
      <c r="H186" s="582">
        <f>'[1]2'!E120</f>
        <v>4189466</v>
      </c>
      <c r="I186" s="582">
        <f>F186-H186</f>
        <v>-861366</v>
      </c>
    </row>
    <row r="187" spans="1:7" s="205" customFormat="1" ht="12.75">
      <c r="A187" s="171"/>
      <c r="B187" s="171" t="s">
        <v>598</v>
      </c>
      <c r="C187" s="171"/>
      <c r="D187" s="172" t="s">
        <v>264</v>
      </c>
      <c r="E187" s="173">
        <f>E188+E189+E190</f>
        <v>1501456</v>
      </c>
      <c r="F187" s="567">
        <v>1735000</v>
      </c>
      <c r="G187" s="174">
        <f t="shared" si="2"/>
        <v>115.55450176362146</v>
      </c>
    </row>
    <row r="188" spans="1:7" s="205" customFormat="1" ht="12.75">
      <c r="A188" s="182"/>
      <c r="B188" s="176" t="s">
        <v>376</v>
      </c>
      <c r="C188" s="177"/>
      <c r="D188" s="178" t="s">
        <v>377</v>
      </c>
      <c r="E188" s="180">
        <f>1459400-E189+18750</f>
        <v>275030</v>
      </c>
      <c r="F188" s="180">
        <f>F187-F189-F190</f>
        <v>375000</v>
      </c>
      <c r="G188" s="181">
        <f>F188/E188*100</f>
        <v>136.34876195324145</v>
      </c>
    </row>
    <row r="189" spans="1:7" s="205" customFormat="1" ht="12.75">
      <c r="A189" s="182"/>
      <c r="B189" s="177"/>
      <c r="C189" s="177"/>
      <c r="D189" s="178" t="s">
        <v>391</v>
      </c>
      <c r="E189" s="180">
        <f>1017000+186120</f>
        <v>1203120</v>
      </c>
      <c r="F189" s="180">
        <f>1132000+228000</f>
        <v>1360000</v>
      </c>
      <c r="G189" s="181">
        <f>F189/E189*100</f>
        <v>113.03943081321897</v>
      </c>
    </row>
    <row r="190" spans="1:7" s="205" customFormat="1" ht="12.75">
      <c r="A190" s="187"/>
      <c r="B190" s="209"/>
      <c r="C190" s="209"/>
      <c r="D190" s="210" t="s">
        <v>384</v>
      </c>
      <c r="E190" s="211">
        <v>23306</v>
      </c>
      <c r="F190" s="211">
        <v>0</v>
      </c>
      <c r="G190" s="212">
        <f>F190/E190*100</f>
        <v>0</v>
      </c>
    </row>
    <row r="191" spans="1:7" s="205" customFormat="1" ht="25.5">
      <c r="A191" s="213"/>
      <c r="B191" s="213" t="s">
        <v>599</v>
      </c>
      <c r="C191" s="213"/>
      <c r="D191" s="214" t="s">
        <v>600</v>
      </c>
      <c r="E191" s="215">
        <f>127970</f>
        <v>127970</v>
      </c>
      <c r="F191" s="572">
        <v>101000</v>
      </c>
      <c r="G191" s="216">
        <f t="shared" si="2"/>
        <v>78.92474798780964</v>
      </c>
    </row>
    <row r="192" spans="1:7" s="205" customFormat="1" ht="12.75">
      <c r="A192" s="182"/>
      <c r="B192" s="176" t="s">
        <v>376</v>
      </c>
      <c r="C192" s="177"/>
      <c r="D192" s="178" t="s">
        <v>377</v>
      </c>
      <c r="E192" s="180">
        <f>E191-E193</f>
        <v>25885</v>
      </c>
      <c r="F192" s="180">
        <f>F191-F193</f>
        <v>21000</v>
      </c>
      <c r="G192" s="181">
        <f t="shared" si="2"/>
        <v>81.12806644774966</v>
      </c>
    </row>
    <row r="193" spans="1:7" s="205" customFormat="1" ht="12.75">
      <c r="A193" s="187"/>
      <c r="B193" s="209"/>
      <c r="C193" s="209"/>
      <c r="D193" s="210" t="s">
        <v>391</v>
      </c>
      <c r="E193" s="211">
        <f>85110+16975</f>
        <v>102085</v>
      </c>
      <c r="F193" s="211">
        <f>66000+14000</f>
        <v>80000</v>
      </c>
      <c r="G193" s="212">
        <f aca="true" t="shared" si="3" ref="G193:G240">F193/E193*100</f>
        <v>78.36606749277563</v>
      </c>
    </row>
    <row r="194" spans="1:7" s="205" customFormat="1" ht="12.75">
      <c r="A194" s="213"/>
      <c r="B194" s="213" t="s">
        <v>601</v>
      </c>
      <c r="C194" s="213"/>
      <c r="D194" s="214" t="s">
        <v>266</v>
      </c>
      <c r="E194" s="215">
        <f>90770+E197</f>
        <v>288770</v>
      </c>
      <c r="F194" s="572">
        <v>156100</v>
      </c>
      <c r="G194" s="216">
        <f t="shared" si="3"/>
        <v>54.05686186238182</v>
      </c>
    </row>
    <row r="195" spans="1:7" s="205" customFormat="1" ht="12.75">
      <c r="A195" s="182"/>
      <c r="B195" s="176" t="s">
        <v>376</v>
      </c>
      <c r="C195" s="177"/>
      <c r="D195" s="178" t="s">
        <v>377</v>
      </c>
      <c r="E195" s="180">
        <f>E194-E196-E197</f>
        <v>21310</v>
      </c>
      <c r="F195" s="180">
        <f>F194-F196-F197</f>
        <v>23000</v>
      </c>
      <c r="G195" s="181">
        <f t="shared" si="3"/>
        <v>107.93054903801031</v>
      </c>
    </row>
    <row r="196" spans="1:7" s="205" customFormat="1" ht="12.75">
      <c r="A196" s="182"/>
      <c r="B196" s="177"/>
      <c r="C196" s="177"/>
      <c r="D196" s="178" t="s">
        <v>391</v>
      </c>
      <c r="E196" s="180">
        <f>58260+11200</f>
        <v>69460</v>
      </c>
      <c r="F196" s="180">
        <f>61000+12000</f>
        <v>73000</v>
      </c>
      <c r="G196" s="181">
        <f t="shared" si="3"/>
        <v>105.09645839331989</v>
      </c>
    </row>
    <row r="197" spans="1:7" s="205" customFormat="1" ht="12.75">
      <c r="A197" s="187"/>
      <c r="B197" s="209"/>
      <c r="C197" s="209"/>
      <c r="D197" s="210" t="s">
        <v>384</v>
      </c>
      <c r="E197" s="211">
        <v>198000</v>
      </c>
      <c r="F197" s="211">
        <v>60100</v>
      </c>
      <c r="G197" s="181">
        <f t="shared" si="3"/>
        <v>30.353535353535356</v>
      </c>
    </row>
    <row r="198" spans="1:7" s="205" customFormat="1" ht="12.75">
      <c r="A198" s="213"/>
      <c r="B198" s="213" t="s">
        <v>602</v>
      </c>
      <c r="C198" s="213"/>
      <c r="D198" s="214" t="s">
        <v>267</v>
      </c>
      <c r="E198" s="215">
        <v>700000</v>
      </c>
      <c r="F198" s="572">
        <v>846000</v>
      </c>
      <c r="G198" s="216">
        <f t="shared" si="3"/>
        <v>120.85714285714286</v>
      </c>
    </row>
    <row r="199" spans="1:7" s="205" customFormat="1" ht="12.75">
      <c r="A199" s="182"/>
      <c r="B199" s="176" t="s">
        <v>376</v>
      </c>
      <c r="C199" s="177"/>
      <c r="D199" s="178" t="s">
        <v>377</v>
      </c>
      <c r="E199" s="180">
        <f>E198-E200</f>
        <v>125650</v>
      </c>
      <c r="F199" s="180">
        <f>F198-F200</f>
        <v>177000</v>
      </c>
      <c r="G199" s="181">
        <f t="shared" si="3"/>
        <v>140.8674890569041</v>
      </c>
    </row>
    <row r="200" spans="1:7" s="205" customFormat="1" ht="12.75">
      <c r="A200" s="187"/>
      <c r="B200" s="209"/>
      <c r="C200" s="209"/>
      <c r="D200" s="210" t="s">
        <v>391</v>
      </c>
      <c r="E200" s="211">
        <f>480200+94150</f>
        <v>574350</v>
      </c>
      <c r="F200" s="211">
        <f>557000+112000</f>
        <v>669000</v>
      </c>
      <c r="G200" s="212">
        <f t="shared" si="3"/>
        <v>116.47949856359364</v>
      </c>
    </row>
    <row r="201" spans="1:7" s="205" customFormat="1" ht="12.75">
      <c r="A201" s="213"/>
      <c r="B201" s="213" t="s">
        <v>603</v>
      </c>
      <c r="C201" s="213"/>
      <c r="D201" s="214" t="s">
        <v>604</v>
      </c>
      <c r="E201" s="215">
        <f>42800+195000</f>
        <v>237800</v>
      </c>
      <c r="F201" s="572">
        <v>250000</v>
      </c>
      <c r="G201" s="216">
        <f t="shared" si="3"/>
        <v>105.13036164844407</v>
      </c>
    </row>
    <row r="202" spans="1:7" s="205" customFormat="1" ht="12.75">
      <c r="A202" s="182"/>
      <c r="B202" s="176" t="s">
        <v>376</v>
      </c>
      <c r="C202" s="177"/>
      <c r="D202" s="178" t="s">
        <v>377</v>
      </c>
      <c r="E202" s="180">
        <f>E201-E203</f>
        <v>197180</v>
      </c>
      <c r="F202" s="180">
        <f>F201-F203</f>
        <v>200000</v>
      </c>
      <c r="G202" s="181">
        <f t="shared" si="3"/>
        <v>101.43016533116949</v>
      </c>
    </row>
    <row r="203" spans="1:7" s="205" customFormat="1" ht="12.75">
      <c r="A203" s="187"/>
      <c r="B203" s="209"/>
      <c r="C203" s="209"/>
      <c r="D203" s="210" t="s">
        <v>391</v>
      </c>
      <c r="E203" s="211">
        <f>35320+5300</f>
        <v>40620</v>
      </c>
      <c r="F203" s="211">
        <f>42000+8000</f>
        <v>50000</v>
      </c>
      <c r="G203" s="212">
        <f t="shared" si="3"/>
        <v>123.09207287050714</v>
      </c>
    </row>
    <row r="204" spans="1:7" s="205" customFormat="1" ht="12.75">
      <c r="A204" s="213"/>
      <c r="B204" s="213" t="s">
        <v>605</v>
      </c>
      <c r="C204" s="213"/>
      <c r="D204" s="214" t="s">
        <v>606</v>
      </c>
      <c r="E204" s="215">
        <f>E205</f>
        <v>5400</v>
      </c>
      <c r="F204" s="215">
        <f>F205</f>
        <v>15100</v>
      </c>
      <c r="G204" s="216">
        <f t="shared" si="3"/>
        <v>279.6296296296296</v>
      </c>
    </row>
    <row r="205" spans="1:7" s="205" customFormat="1" ht="12.75">
      <c r="A205" s="489"/>
      <c r="B205" s="217" t="s">
        <v>376</v>
      </c>
      <c r="C205" s="209"/>
      <c r="D205" s="210" t="s">
        <v>377</v>
      </c>
      <c r="E205" s="211">
        <v>5400</v>
      </c>
      <c r="F205" s="211">
        <v>15100</v>
      </c>
      <c r="G205" s="212">
        <f t="shared" si="3"/>
        <v>279.6296296296296</v>
      </c>
    </row>
    <row r="206" spans="1:7" s="205" customFormat="1" ht="12.75">
      <c r="A206" s="189"/>
      <c r="B206" s="213" t="s">
        <v>748</v>
      </c>
      <c r="C206" s="213"/>
      <c r="D206" s="214" t="s">
        <v>738</v>
      </c>
      <c r="E206" s="215">
        <v>201300</v>
      </c>
      <c r="F206" s="572">
        <v>69000</v>
      </c>
      <c r="G206" s="216">
        <f t="shared" si="3"/>
        <v>34.277198211624444</v>
      </c>
    </row>
    <row r="207" spans="1:7" s="205" customFormat="1" ht="12.75">
      <c r="A207" s="189"/>
      <c r="B207" s="176" t="s">
        <v>376</v>
      </c>
      <c r="C207" s="177"/>
      <c r="D207" s="178" t="s">
        <v>377</v>
      </c>
      <c r="E207" s="180">
        <f>E206-E208</f>
        <v>119700</v>
      </c>
      <c r="F207" s="180">
        <f>F206-F208</f>
        <v>46900</v>
      </c>
      <c r="G207" s="186">
        <f t="shared" si="3"/>
        <v>39.1812865497076</v>
      </c>
    </row>
    <row r="208" spans="1:7" s="205" customFormat="1" ht="12.75">
      <c r="A208" s="189"/>
      <c r="B208" s="209"/>
      <c r="C208" s="209"/>
      <c r="D208" s="210" t="s">
        <v>391</v>
      </c>
      <c r="E208" s="211">
        <f>72800+8800</f>
        <v>81600</v>
      </c>
      <c r="F208" s="211">
        <f>18500+3600</f>
        <v>22100</v>
      </c>
      <c r="G208" s="597">
        <f t="shared" si="3"/>
        <v>27.083333333333332</v>
      </c>
    </row>
    <row r="209" spans="1:7" s="205" customFormat="1" ht="12.75">
      <c r="A209" s="213"/>
      <c r="B209" s="213" t="s">
        <v>607</v>
      </c>
      <c r="C209" s="213"/>
      <c r="D209" s="214" t="s">
        <v>178</v>
      </c>
      <c r="E209" s="215">
        <f>E210+E211</f>
        <v>49575</v>
      </c>
      <c r="F209" s="215">
        <f>F210+F211</f>
        <v>155900</v>
      </c>
      <c r="G209" s="216">
        <f t="shared" si="3"/>
        <v>314.47302067574384</v>
      </c>
    </row>
    <row r="210" spans="1:7" s="205" customFormat="1" ht="12.75">
      <c r="A210" s="182"/>
      <c r="B210" s="176" t="s">
        <v>376</v>
      </c>
      <c r="C210" s="177"/>
      <c r="D210" s="178" t="s">
        <v>377</v>
      </c>
      <c r="E210" s="180">
        <f>30750+18825</f>
        <v>49575</v>
      </c>
      <c r="F210" s="180">
        <v>45900</v>
      </c>
      <c r="G210" s="181">
        <f t="shared" si="3"/>
        <v>92.58698940998488</v>
      </c>
    </row>
    <row r="211" spans="1:7" s="205" customFormat="1" ht="13.5" thickBot="1">
      <c r="A211" s="189"/>
      <c r="B211" s="558"/>
      <c r="C211" s="222"/>
      <c r="D211" s="223" t="s">
        <v>384</v>
      </c>
      <c r="E211" s="560">
        <v>0</v>
      </c>
      <c r="F211" s="560">
        <v>110000</v>
      </c>
      <c r="G211" s="598" t="s">
        <v>810</v>
      </c>
    </row>
    <row r="212" spans="1:7" s="205" customFormat="1" ht="13.5" thickBot="1">
      <c r="A212" s="167" t="s">
        <v>608</v>
      </c>
      <c r="B212" s="167"/>
      <c r="C212" s="167"/>
      <c r="D212" s="168" t="s">
        <v>298</v>
      </c>
      <c r="E212" s="169">
        <f>E213+E216</f>
        <v>75900</v>
      </c>
      <c r="F212" s="169">
        <f>F213+F216</f>
        <v>71000</v>
      </c>
      <c r="G212" s="170">
        <f t="shared" si="3"/>
        <v>93.54413702239789</v>
      </c>
    </row>
    <row r="213" spans="1:7" s="205" customFormat="1" ht="12.75">
      <c r="A213" s="171"/>
      <c r="B213" s="171" t="s">
        <v>609</v>
      </c>
      <c r="C213" s="171"/>
      <c r="D213" s="172" t="s">
        <v>610</v>
      </c>
      <c r="E213" s="173">
        <v>70000</v>
      </c>
      <c r="F213" s="567">
        <v>60000</v>
      </c>
      <c r="G213" s="174">
        <f t="shared" si="3"/>
        <v>85.71428571428571</v>
      </c>
    </row>
    <row r="214" spans="1:7" s="205" customFormat="1" ht="12.75">
      <c r="A214" s="182"/>
      <c r="B214" s="176" t="s">
        <v>376</v>
      </c>
      <c r="C214" s="177"/>
      <c r="D214" s="178" t="s">
        <v>377</v>
      </c>
      <c r="E214" s="179">
        <f>E213-E215</f>
        <v>31700</v>
      </c>
      <c r="F214" s="179">
        <f>F213-F215</f>
        <v>16236</v>
      </c>
      <c r="G214" s="186">
        <f t="shared" si="3"/>
        <v>51.21766561514196</v>
      </c>
    </row>
    <row r="215" spans="1:7" s="205" customFormat="1" ht="12.75">
      <c r="A215" s="489"/>
      <c r="B215" s="494"/>
      <c r="C215" s="494"/>
      <c r="D215" s="495" t="s">
        <v>391</v>
      </c>
      <c r="E215" s="496">
        <f>35000+300+3000</f>
        <v>38300</v>
      </c>
      <c r="F215" s="573">
        <f>40590+3174</f>
        <v>43764</v>
      </c>
      <c r="G215" s="597">
        <f t="shared" si="3"/>
        <v>114.26631853785901</v>
      </c>
    </row>
    <row r="216" spans="1:7" s="205" customFormat="1" ht="12.75">
      <c r="A216" s="175"/>
      <c r="B216" s="175" t="s">
        <v>611</v>
      </c>
      <c r="C216" s="175"/>
      <c r="D216" s="195" t="s">
        <v>178</v>
      </c>
      <c r="E216" s="568">
        <f>E217+E218+E219</f>
        <v>5900</v>
      </c>
      <c r="F216" s="568">
        <f>F217+F218+F219</f>
        <v>11000</v>
      </c>
      <c r="G216" s="492">
        <f t="shared" si="3"/>
        <v>186.44067796610167</v>
      </c>
    </row>
    <row r="217" spans="1:7" s="205" customFormat="1" ht="12.75">
      <c r="A217" s="182"/>
      <c r="B217" s="176" t="s">
        <v>376</v>
      </c>
      <c r="C217" s="177"/>
      <c r="D217" s="178" t="s">
        <v>377</v>
      </c>
      <c r="E217" s="179">
        <v>900</v>
      </c>
      <c r="F217" s="180">
        <v>5000</v>
      </c>
      <c r="G217" s="186">
        <f t="shared" si="3"/>
        <v>555.5555555555555</v>
      </c>
    </row>
    <row r="218" spans="1:7" s="205" customFormat="1" ht="12.75" hidden="1">
      <c r="A218" s="732"/>
      <c r="B218" s="858"/>
      <c r="C218" s="768"/>
      <c r="D218" s="761" t="s">
        <v>391</v>
      </c>
      <c r="E218" s="179">
        <v>0</v>
      </c>
      <c r="F218" s="180">
        <v>0</v>
      </c>
      <c r="G218" s="859" t="e">
        <f t="shared" si="3"/>
        <v>#DIV/0!</v>
      </c>
    </row>
    <row r="219" spans="1:7" s="205" customFormat="1" ht="13.5" thickBot="1">
      <c r="A219" s="218"/>
      <c r="B219" s="218"/>
      <c r="C219" s="218"/>
      <c r="D219" s="191" t="s">
        <v>121</v>
      </c>
      <c r="E219" s="192">
        <v>5000</v>
      </c>
      <c r="F219" s="193">
        <v>6000</v>
      </c>
      <c r="G219" s="186">
        <f t="shared" si="3"/>
        <v>120</v>
      </c>
    </row>
    <row r="220" spans="1:7" s="205" customFormat="1" ht="13.5" thickBot="1">
      <c r="A220" s="167" t="s">
        <v>612</v>
      </c>
      <c r="B220" s="167"/>
      <c r="C220" s="167"/>
      <c r="D220" s="168" t="s">
        <v>299</v>
      </c>
      <c r="E220" s="169">
        <f>E221+E224+E226+E228+E230+E233</f>
        <v>2403400</v>
      </c>
      <c r="F220" s="169">
        <f>F221+F224+F226+F228+F230+F233</f>
        <v>2647000</v>
      </c>
      <c r="G220" s="170">
        <f t="shared" si="3"/>
        <v>110.13564117500208</v>
      </c>
    </row>
    <row r="221" spans="1:7" s="205" customFormat="1" ht="39" customHeight="1">
      <c r="A221" s="171"/>
      <c r="B221" s="171" t="s">
        <v>613</v>
      </c>
      <c r="C221" s="171"/>
      <c r="D221" s="172" t="s">
        <v>300</v>
      </c>
      <c r="E221" s="173">
        <v>1360000</v>
      </c>
      <c r="F221" s="567">
        <v>1492000</v>
      </c>
      <c r="G221" s="174">
        <f t="shared" si="3"/>
        <v>109.70588235294119</v>
      </c>
    </row>
    <row r="222" spans="1:7" s="205" customFormat="1" ht="12.75">
      <c r="A222" s="182"/>
      <c r="B222" s="176" t="s">
        <v>376</v>
      </c>
      <c r="C222" s="177"/>
      <c r="D222" s="178" t="s">
        <v>377</v>
      </c>
      <c r="E222" s="179">
        <f>E221-E223</f>
        <v>1300000</v>
      </c>
      <c r="F222" s="179">
        <f>F221-F223</f>
        <v>1448500</v>
      </c>
      <c r="G222" s="186">
        <f>F222/E222*100</f>
        <v>111.42307692307692</v>
      </c>
    </row>
    <row r="223" spans="1:7" s="205" customFormat="1" ht="12.75">
      <c r="A223" s="489"/>
      <c r="B223" s="493"/>
      <c r="C223" s="494"/>
      <c r="D223" s="495" t="s">
        <v>391</v>
      </c>
      <c r="E223" s="496">
        <v>60000</v>
      </c>
      <c r="F223" s="573">
        <f>36700+6800</f>
        <v>43500</v>
      </c>
      <c r="G223" s="597">
        <f>F223/E223*100</f>
        <v>72.5</v>
      </c>
    </row>
    <row r="224" spans="1:7" s="205" customFormat="1" ht="51" customHeight="1">
      <c r="A224" s="175"/>
      <c r="B224" s="175" t="s">
        <v>614</v>
      </c>
      <c r="C224" s="175"/>
      <c r="D224" s="195" t="s">
        <v>615</v>
      </c>
      <c r="E224" s="491">
        <f>E225</f>
        <v>7000</v>
      </c>
      <c r="F224" s="491">
        <f>F225</f>
        <v>9000</v>
      </c>
      <c r="G224" s="492">
        <f t="shared" si="3"/>
        <v>128.57142857142858</v>
      </c>
    </row>
    <row r="225" spans="1:7" s="205" customFormat="1" ht="12.75">
      <c r="A225" s="489"/>
      <c r="B225" s="493" t="s">
        <v>376</v>
      </c>
      <c r="C225" s="494"/>
      <c r="D225" s="495" t="s">
        <v>377</v>
      </c>
      <c r="E225" s="496">
        <v>7000</v>
      </c>
      <c r="F225" s="496">
        <v>9000</v>
      </c>
      <c r="G225" s="597">
        <f t="shared" si="3"/>
        <v>128.57142857142858</v>
      </c>
    </row>
    <row r="226" spans="1:7" s="205" customFormat="1" ht="28.5" customHeight="1">
      <c r="A226" s="175"/>
      <c r="B226" s="175" t="s">
        <v>616</v>
      </c>
      <c r="C226" s="175"/>
      <c r="D226" s="195" t="s">
        <v>302</v>
      </c>
      <c r="E226" s="491">
        <v>385000</v>
      </c>
      <c r="F226" s="568">
        <f>F227</f>
        <v>371000</v>
      </c>
      <c r="G226" s="492">
        <f t="shared" si="3"/>
        <v>96.36363636363636</v>
      </c>
    </row>
    <row r="227" spans="1:7" s="205" customFormat="1" ht="12.75">
      <c r="A227" s="489"/>
      <c r="B227" s="493" t="s">
        <v>376</v>
      </c>
      <c r="C227" s="494"/>
      <c r="D227" s="495" t="s">
        <v>377</v>
      </c>
      <c r="E227" s="962">
        <f>E226</f>
        <v>385000</v>
      </c>
      <c r="F227" s="607">
        <v>371000</v>
      </c>
      <c r="G227" s="597">
        <f t="shared" si="3"/>
        <v>96.36363636363636</v>
      </c>
    </row>
    <row r="228" spans="1:7" s="205" customFormat="1" ht="12.75">
      <c r="A228" s="175"/>
      <c r="B228" s="175" t="s">
        <v>617</v>
      </c>
      <c r="C228" s="175"/>
      <c r="D228" s="195" t="s">
        <v>618</v>
      </c>
      <c r="E228" s="491">
        <f>E229</f>
        <v>130000</v>
      </c>
      <c r="F228" s="491">
        <f>F229</f>
        <v>140000</v>
      </c>
      <c r="G228" s="492">
        <f t="shared" si="3"/>
        <v>107.6923076923077</v>
      </c>
    </row>
    <row r="229" spans="1:7" s="205" customFormat="1" ht="12.75">
      <c r="A229" s="489"/>
      <c r="B229" s="493" t="s">
        <v>376</v>
      </c>
      <c r="C229" s="494"/>
      <c r="D229" s="495" t="s">
        <v>377</v>
      </c>
      <c r="E229" s="496">
        <v>130000</v>
      </c>
      <c r="F229" s="496">
        <v>140000</v>
      </c>
      <c r="G229" s="597">
        <f t="shared" si="3"/>
        <v>107.6923076923077</v>
      </c>
    </row>
    <row r="230" spans="1:7" s="205" customFormat="1" ht="12.75">
      <c r="A230" s="175"/>
      <c r="B230" s="175" t="s">
        <v>619</v>
      </c>
      <c r="C230" s="175"/>
      <c r="D230" s="195" t="s">
        <v>305</v>
      </c>
      <c r="E230" s="491">
        <v>370000</v>
      </c>
      <c r="F230" s="568">
        <v>498000</v>
      </c>
      <c r="G230" s="492">
        <f t="shared" si="3"/>
        <v>134.59459459459458</v>
      </c>
    </row>
    <row r="231" spans="1:7" s="205" customFormat="1" ht="12.75">
      <c r="A231" s="182"/>
      <c r="B231" s="176" t="s">
        <v>376</v>
      </c>
      <c r="C231" s="177"/>
      <c r="D231" s="178" t="s">
        <v>377</v>
      </c>
      <c r="E231" s="179">
        <f>E230-E232</f>
        <v>27400</v>
      </c>
      <c r="F231" s="179">
        <f>F230-F232</f>
        <v>71800</v>
      </c>
      <c r="G231" s="181">
        <f t="shared" si="3"/>
        <v>262.04379562043795</v>
      </c>
    </row>
    <row r="232" spans="1:7" s="205" customFormat="1" ht="12.75">
      <c r="A232" s="489"/>
      <c r="B232" s="493"/>
      <c r="C232" s="494"/>
      <c r="D232" s="495" t="s">
        <v>391</v>
      </c>
      <c r="E232" s="496">
        <v>342600</v>
      </c>
      <c r="F232" s="573">
        <f>358200+68000</f>
        <v>426200</v>
      </c>
      <c r="G232" s="498">
        <f t="shared" si="3"/>
        <v>124.40163455925277</v>
      </c>
    </row>
    <row r="233" spans="1:7" s="205" customFormat="1" ht="14.25" customHeight="1">
      <c r="A233" s="175"/>
      <c r="B233" s="175" t="s">
        <v>620</v>
      </c>
      <c r="C233" s="175"/>
      <c r="D233" s="195" t="s">
        <v>178</v>
      </c>
      <c r="E233" s="491">
        <f>50000+93000+8400</f>
        <v>151400</v>
      </c>
      <c r="F233" s="568">
        <v>137000</v>
      </c>
      <c r="G233" s="492">
        <f t="shared" si="3"/>
        <v>90.4887714663144</v>
      </c>
    </row>
    <row r="234" spans="1:7" s="205" customFormat="1" ht="14.25" customHeight="1">
      <c r="A234" s="189"/>
      <c r="B234" s="176" t="s">
        <v>376</v>
      </c>
      <c r="C234" s="177"/>
      <c r="D234" s="178" t="s">
        <v>377</v>
      </c>
      <c r="E234" s="179">
        <f>E233-E235</f>
        <v>146400</v>
      </c>
      <c r="F234" s="179">
        <f>F233-F235</f>
        <v>132000</v>
      </c>
      <c r="G234" s="181">
        <f>F234/E234*100</f>
        <v>90.1639344262295</v>
      </c>
    </row>
    <row r="235" spans="1:7" s="205" customFormat="1" ht="14.25" customHeight="1" thickBot="1">
      <c r="A235" s="218"/>
      <c r="B235" s="860"/>
      <c r="C235" s="861"/>
      <c r="D235" s="862" t="s">
        <v>121</v>
      </c>
      <c r="E235" s="863">
        <v>5000</v>
      </c>
      <c r="F235" s="863">
        <v>5000</v>
      </c>
      <c r="G235" s="864">
        <f>F235/E235*100</f>
        <v>100</v>
      </c>
    </row>
    <row r="236" spans="1:7" s="205" customFormat="1" ht="13.5" thickBot="1">
      <c r="A236" s="167" t="s">
        <v>621</v>
      </c>
      <c r="B236" s="167"/>
      <c r="C236" s="167"/>
      <c r="D236" s="167" t="s">
        <v>355</v>
      </c>
      <c r="E236" s="169">
        <f>E237+E242+E244+E240</f>
        <v>153050</v>
      </c>
      <c r="F236" s="169">
        <f>F237+F242+F244</f>
        <v>130872</v>
      </c>
      <c r="G236" s="170">
        <f t="shared" si="3"/>
        <v>85.50931068278341</v>
      </c>
    </row>
    <row r="237" spans="1:7" s="205" customFormat="1" ht="12.75">
      <c r="A237" s="171"/>
      <c r="B237" s="171" t="s">
        <v>622</v>
      </c>
      <c r="C237" s="171"/>
      <c r="D237" s="172" t="s">
        <v>623</v>
      </c>
      <c r="E237" s="173">
        <v>79600</v>
      </c>
      <c r="F237" s="567">
        <v>129357</v>
      </c>
      <c r="G237" s="174">
        <f t="shared" si="3"/>
        <v>162.50879396984925</v>
      </c>
    </row>
    <row r="238" spans="1:7" s="205" customFormat="1" ht="12.75">
      <c r="A238" s="182"/>
      <c r="B238" s="176" t="s">
        <v>376</v>
      </c>
      <c r="C238" s="177"/>
      <c r="D238" s="178" t="s">
        <v>377</v>
      </c>
      <c r="E238" s="179">
        <f>E237-E239</f>
        <v>11120</v>
      </c>
      <c r="F238" s="180">
        <f>F237-F239</f>
        <v>17507</v>
      </c>
      <c r="G238" s="181">
        <f t="shared" si="3"/>
        <v>157.43705035971223</v>
      </c>
    </row>
    <row r="239" spans="1:7" s="205" customFormat="1" ht="12.75">
      <c r="A239" s="489"/>
      <c r="B239" s="493"/>
      <c r="C239" s="494"/>
      <c r="D239" s="495" t="s">
        <v>391</v>
      </c>
      <c r="E239" s="496">
        <f>57960+10520</f>
        <v>68480</v>
      </c>
      <c r="F239" s="573">
        <f>92550+19300</f>
        <v>111850</v>
      </c>
      <c r="G239" s="498">
        <f t="shared" si="3"/>
        <v>163.3323598130841</v>
      </c>
    </row>
    <row r="240" spans="1:7" s="205" customFormat="1" ht="12.75">
      <c r="A240" s="175"/>
      <c r="B240" s="175" t="s">
        <v>624</v>
      </c>
      <c r="C240" s="175"/>
      <c r="D240" s="195" t="s">
        <v>356</v>
      </c>
      <c r="E240" s="491">
        <f>E241</f>
        <v>73450</v>
      </c>
      <c r="F240" s="491">
        <f>F241</f>
        <v>0</v>
      </c>
      <c r="G240" s="492">
        <f t="shared" si="3"/>
        <v>0</v>
      </c>
    </row>
    <row r="241" spans="1:7" s="205" customFormat="1" ht="12.75">
      <c r="A241" s="489"/>
      <c r="B241" s="493" t="s">
        <v>376</v>
      </c>
      <c r="C241" s="494"/>
      <c r="D241" s="495" t="s">
        <v>377</v>
      </c>
      <c r="E241" s="496">
        <v>73450</v>
      </c>
      <c r="F241" s="496">
        <v>0</v>
      </c>
      <c r="G241" s="498">
        <f>F241/E241*100</f>
        <v>0</v>
      </c>
    </row>
    <row r="242" spans="1:7" s="205" customFormat="1" ht="15" customHeight="1">
      <c r="A242" s="175"/>
      <c r="B242" s="175" t="s">
        <v>625</v>
      </c>
      <c r="C242" s="175"/>
      <c r="D242" s="195" t="s">
        <v>606</v>
      </c>
      <c r="E242" s="491">
        <f>E243</f>
        <v>0</v>
      </c>
      <c r="F242" s="491">
        <f>F243</f>
        <v>900</v>
      </c>
      <c r="G242" s="608" t="s">
        <v>810</v>
      </c>
    </row>
    <row r="243" spans="1:8" s="205" customFormat="1" ht="12.75">
      <c r="A243" s="489"/>
      <c r="B243" s="493" t="s">
        <v>376</v>
      </c>
      <c r="C243" s="494"/>
      <c r="D243" s="495" t="s">
        <v>377</v>
      </c>
      <c r="E243" s="496">
        <v>0</v>
      </c>
      <c r="F243" s="496">
        <v>900</v>
      </c>
      <c r="G243" s="497" t="s">
        <v>810</v>
      </c>
      <c r="H243" s="590"/>
    </row>
    <row r="244" spans="1:7" s="205" customFormat="1" ht="12.75">
      <c r="A244" s="175"/>
      <c r="B244" s="175" t="s">
        <v>626</v>
      </c>
      <c r="C244" s="175"/>
      <c r="D244" s="195" t="s">
        <v>178</v>
      </c>
      <c r="E244" s="491">
        <f>E245</f>
        <v>0</v>
      </c>
      <c r="F244" s="491">
        <f>F245</f>
        <v>615</v>
      </c>
      <c r="G244" s="608" t="s">
        <v>810</v>
      </c>
    </row>
    <row r="245" spans="1:7" s="205" customFormat="1" ht="13.5" thickBot="1">
      <c r="A245" s="218"/>
      <c r="B245" s="219" t="s">
        <v>376</v>
      </c>
      <c r="C245" s="190"/>
      <c r="D245" s="191" t="s">
        <v>377</v>
      </c>
      <c r="E245" s="192">
        <v>0</v>
      </c>
      <c r="F245" s="192">
        <v>615</v>
      </c>
      <c r="G245" s="561" t="s">
        <v>810</v>
      </c>
    </row>
    <row r="246" spans="1:7" s="205" customFormat="1" ht="26.25" thickBot="1">
      <c r="A246" s="167" t="s">
        <v>627</v>
      </c>
      <c r="B246" s="167"/>
      <c r="C246" s="167"/>
      <c r="D246" s="168" t="s">
        <v>306</v>
      </c>
      <c r="E246" s="169">
        <f>E247+E249+E253+E256+E259</f>
        <v>374800</v>
      </c>
      <c r="F246" s="169">
        <f>F247+F249+F253+F256+F259</f>
        <v>951540</v>
      </c>
      <c r="G246" s="170">
        <f aca="true" t="shared" si="4" ref="G246:G296">F246/E246*100</f>
        <v>253.8794023479189</v>
      </c>
    </row>
    <row r="247" spans="1:7" s="205" customFormat="1" ht="12.75">
      <c r="A247" s="175"/>
      <c r="B247" s="175" t="s">
        <v>628</v>
      </c>
      <c r="C247" s="175"/>
      <c r="D247" s="195" t="s">
        <v>629</v>
      </c>
      <c r="E247" s="184">
        <f>E248</f>
        <v>49000</v>
      </c>
      <c r="F247" s="184">
        <f>F248</f>
        <v>300000</v>
      </c>
      <c r="G247" s="186">
        <f t="shared" si="4"/>
        <v>612.2448979591836</v>
      </c>
    </row>
    <row r="248" spans="1:7" s="205" customFormat="1" ht="12.75">
      <c r="A248" s="489"/>
      <c r="B248" s="493" t="s">
        <v>376</v>
      </c>
      <c r="C248" s="494"/>
      <c r="D248" s="495" t="s">
        <v>384</v>
      </c>
      <c r="E248" s="496">
        <v>49000</v>
      </c>
      <c r="F248" s="496">
        <v>300000</v>
      </c>
      <c r="G248" s="498">
        <f t="shared" si="4"/>
        <v>612.2448979591836</v>
      </c>
    </row>
    <row r="249" spans="1:7" s="205" customFormat="1" ht="12.75">
      <c r="A249" s="175"/>
      <c r="B249" s="175" t="s">
        <v>630</v>
      </c>
      <c r="C249" s="175"/>
      <c r="D249" s="195" t="s">
        <v>357</v>
      </c>
      <c r="E249" s="491">
        <f>SUM(E250:E251)</f>
        <v>1000</v>
      </c>
      <c r="F249" s="491">
        <f>SUM(F250:F251)</f>
        <v>211700</v>
      </c>
      <c r="G249" s="492">
        <f t="shared" si="4"/>
        <v>21170</v>
      </c>
    </row>
    <row r="250" spans="1:7" s="205" customFormat="1" ht="12.75">
      <c r="A250" s="182"/>
      <c r="B250" s="176" t="s">
        <v>376</v>
      </c>
      <c r="C250" s="182"/>
      <c r="D250" s="178" t="s">
        <v>377</v>
      </c>
      <c r="E250" s="179">
        <v>1000</v>
      </c>
      <c r="F250" s="179">
        <v>24500</v>
      </c>
      <c r="G250" s="181">
        <f t="shared" si="4"/>
        <v>2450</v>
      </c>
    </row>
    <row r="251" spans="1:7" s="205" customFormat="1" ht="12.75">
      <c r="A251" s="489"/>
      <c r="B251" s="493"/>
      <c r="C251" s="489"/>
      <c r="D251" s="495" t="s">
        <v>384</v>
      </c>
      <c r="E251" s="496">
        <v>0</v>
      </c>
      <c r="F251" s="573">
        <v>187200</v>
      </c>
      <c r="G251" s="497" t="s">
        <v>810</v>
      </c>
    </row>
    <row r="252" spans="1:7" s="205" customFormat="1" ht="12.75" hidden="1">
      <c r="A252" s="175"/>
      <c r="B252" s="175"/>
      <c r="C252" s="175"/>
      <c r="D252" s="198" t="s">
        <v>121</v>
      </c>
      <c r="E252" s="958">
        <v>0</v>
      </c>
      <c r="F252" s="199">
        <v>0</v>
      </c>
      <c r="G252" s="598"/>
    </row>
    <row r="253" spans="1:7" s="205" customFormat="1" ht="14.25" customHeight="1">
      <c r="A253" s="182"/>
      <c r="B253" s="182" t="s">
        <v>631</v>
      </c>
      <c r="C253" s="182"/>
      <c r="D253" s="183" t="s">
        <v>632</v>
      </c>
      <c r="E253" s="184">
        <f>E254+E255</f>
        <v>72500</v>
      </c>
      <c r="F253" s="184">
        <f>F254+F255</f>
        <v>91540</v>
      </c>
      <c r="G253" s="186">
        <f t="shared" si="4"/>
        <v>126.26206896551724</v>
      </c>
    </row>
    <row r="254" spans="1:7" s="205" customFormat="1" ht="12.75">
      <c r="A254" s="182"/>
      <c r="B254" s="176" t="s">
        <v>376</v>
      </c>
      <c r="C254" s="177"/>
      <c r="D254" s="178" t="s">
        <v>377</v>
      </c>
      <c r="E254" s="179">
        <v>72500</v>
      </c>
      <c r="F254" s="180">
        <v>83540</v>
      </c>
      <c r="G254" s="181">
        <f t="shared" si="4"/>
        <v>115.22758620689655</v>
      </c>
    </row>
    <row r="255" spans="1:7" s="205" customFormat="1" ht="12.75">
      <c r="A255" s="489"/>
      <c r="B255" s="493"/>
      <c r="C255" s="494"/>
      <c r="D255" s="495" t="s">
        <v>384</v>
      </c>
      <c r="E255" s="496">
        <v>0</v>
      </c>
      <c r="F255" s="573">
        <v>8000</v>
      </c>
      <c r="G255" s="498" t="s">
        <v>810</v>
      </c>
    </row>
    <row r="256" spans="1:7" s="205" customFormat="1" ht="12.75">
      <c r="A256" s="175"/>
      <c r="B256" s="175" t="s">
        <v>633</v>
      </c>
      <c r="C256" s="175"/>
      <c r="D256" s="195" t="s">
        <v>634</v>
      </c>
      <c r="E256" s="491">
        <f>E257+E258</f>
        <v>158600</v>
      </c>
      <c r="F256" s="568">
        <f>F257+F258</f>
        <v>217300</v>
      </c>
      <c r="G256" s="492">
        <f t="shared" si="4"/>
        <v>137.01134930643127</v>
      </c>
    </row>
    <row r="257" spans="1:7" s="205" customFormat="1" ht="12.75">
      <c r="A257" s="182"/>
      <c r="B257" s="176" t="s">
        <v>376</v>
      </c>
      <c r="C257" s="177"/>
      <c r="D257" s="178" t="s">
        <v>377</v>
      </c>
      <c r="E257" s="179">
        <f>2500+88500+49600</f>
        <v>140600</v>
      </c>
      <c r="F257" s="180">
        <v>152000</v>
      </c>
      <c r="G257" s="181">
        <f t="shared" si="4"/>
        <v>108.10810810810811</v>
      </c>
    </row>
    <row r="258" spans="1:7" s="205" customFormat="1" ht="12.75">
      <c r="A258" s="489"/>
      <c r="B258" s="493"/>
      <c r="C258" s="494"/>
      <c r="D258" s="495" t="s">
        <v>384</v>
      </c>
      <c r="E258" s="496">
        <v>18000</v>
      </c>
      <c r="F258" s="573">
        <v>65300</v>
      </c>
      <c r="G258" s="181">
        <f t="shared" si="4"/>
        <v>362.77777777777777</v>
      </c>
    </row>
    <row r="259" spans="1:7" s="205" customFormat="1" ht="12.75">
      <c r="A259" s="175"/>
      <c r="B259" s="175" t="s">
        <v>635</v>
      </c>
      <c r="C259" s="175"/>
      <c r="D259" s="195" t="s">
        <v>178</v>
      </c>
      <c r="E259" s="491">
        <f>E260+E261+E262</f>
        <v>93700</v>
      </c>
      <c r="F259" s="568">
        <f>F260+F261+F263</f>
        <v>131000</v>
      </c>
      <c r="G259" s="492">
        <f t="shared" si="4"/>
        <v>139.80789754535752</v>
      </c>
    </row>
    <row r="260" spans="1:7" s="205" customFormat="1" ht="12.75">
      <c r="A260" s="182"/>
      <c r="B260" s="176" t="s">
        <v>376</v>
      </c>
      <c r="C260" s="182"/>
      <c r="D260" s="178" t="s">
        <v>377</v>
      </c>
      <c r="E260" s="179">
        <f>10000+13500+2200+3000</f>
        <v>28700</v>
      </c>
      <c r="F260" s="180">
        <v>21000</v>
      </c>
      <c r="G260" s="181">
        <f t="shared" si="4"/>
        <v>73.17073170731707</v>
      </c>
    </row>
    <row r="261" spans="1:7" s="205" customFormat="1" ht="12.75">
      <c r="A261" s="182"/>
      <c r="B261" s="220"/>
      <c r="C261" s="182"/>
      <c r="D261" s="178" t="s">
        <v>384</v>
      </c>
      <c r="E261" s="179">
        <v>62000</v>
      </c>
      <c r="F261" s="180">
        <v>110000</v>
      </c>
      <c r="G261" s="181">
        <f t="shared" si="4"/>
        <v>177.41935483870967</v>
      </c>
    </row>
    <row r="262" spans="1:7" s="205" customFormat="1" ht="13.5" thickBot="1">
      <c r="A262" s="187"/>
      <c r="B262" s="562"/>
      <c r="C262" s="187"/>
      <c r="D262" s="210" t="s">
        <v>391</v>
      </c>
      <c r="E262" s="211">
        <v>3000</v>
      </c>
      <c r="F262" s="211">
        <v>0</v>
      </c>
      <c r="G262" s="212">
        <f t="shared" si="4"/>
        <v>0</v>
      </c>
    </row>
    <row r="263" spans="1:7" s="205" customFormat="1" ht="13.5" hidden="1" thickBot="1">
      <c r="A263" s="218"/>
      <c r="B263" s="221"/>
      <c r="C263" s="218"/>
      <c r="D263" s="191" t="s">
        <v>121</v>
      </c>
      <c r="E263" s="193">
        <v>0</v>
      </c>
      <c r="F263" s="193">
        <v>0</v>
      </c>
      <c r="G263" s="561" t="s">
        <v>810</v>
      </c>
    </row>
    <row r="264" spans="1:7" s="205" customFormat="1" ht="15.75" customHeight="1" thickBot="1">
      <c r="A264" s="167" t="s">
        <v>636</v>
      </c>
      <c r="B264" s="167"/>
      <c r="C264" s="167"/>
      <c r="D264" s="168" t="s">
        <v>637</v>
      </c>
      <c r="E264" s="169">
        <f>E265+E275+E279</f>
        <v>598946</v>
      </c>
      <c r="F264" s="169">
        <f>F265+F275+F279</f>
        <v>1028375</v>
      </c>
      <c r="G264" s="170">
        <f t="shared" si="4"/>
        <v>171.69744851789645</v>
      </c>
    </row>
    <row r="265" spans="1:7" s="205" customFormat="1" ht="15" customHeight="1">
      <c r="A265" s="175"/>
      <c r="B265" s="175" t="s">
        <v>638</v>
      </c>
      <c r="C265" s="175"/>
      <c r="D265" s="195" t="s">
        <v>639</v>
      </c>
      <c r="E265" s="184">
        <f>E266+E267+E268+E269</f>
        <v>547700</v>
      </c>
      <c r="F265" s="185">
        <f>F266+F267+F268+F269</f>
        <v>947375</v>
      </c>
      <c r="G265" s="174">
        <f t="shared" si="4"/>
        <v>172.9733430710243</v>
      </c>
    </row>
    <row r="266" spans="1:8" s="205" customFormat="1" ht="12.75">
      <c r="A266" s="182"/>
      <c r="B266" s="176" t="s">
        <v>376</v>
      </c>
      <c r="C266" s="177"/>
      <c r="D266" s="178" t="s">
        <v>377</v>
      </c>
      <c r="E266" s="179">
        <f>10000+5000</f>
        <v>15000</v>
      </c>
      <c r="F266" s="180">
        <v>10000</v>
      </c>
      <c r="G266" s="181">
        <f t="shared" si="4"/>
        <v>66.66666666666666</v>
      </c>
      <c r="H266" s="582"/>
    </row>
    <row r="267" spans="1:7" s="618" customFormat="1" ht="12.75" hidden="1">
      <c r="A267" s="732"/>
      <c r="B267" s="768"/>
      <c r="C267" s="768"/>
      <c r="D267" s="761" t="s">
        <v>391</v>
      </c>
      <c r="E267" s="179">
        <v>0</v>
      </c>
      <c r="F267" s="180">
        <v>0</v>
      </c>
      <c r="G267" s="940" t="s">
        <v>810</v>
      </c>
    </row>
    <row r="268" spans="1:7" s="205" customFormat="1" ht="12.75">
      <c r="A268" s="182"/>
      <c r="B268" s="177"/>
      <c r="C268" s="177"/>
      <c r="D268" s="178" t="s">
        <v>384</v>
      </c>
      <c r="E268" s="179">
        <v>15000</v>
      </c>
      <c r="F268" s="180">
        <v>398625</v>
      </c>
      <c r="G268" s="181">
        <f t="shared" si="4"/>
        <v>2657.5</v>
      </c>
    </row>
    <row r="269" spans="1:7" s="205" customFormat="1" ht="12" customHeight="1">
      <c r="A269" s="489"/>
      <c r="B269" s="494"/>
      <c r="C269" s="494"/>
      <c r="D269" s="495" t="s">
        <v>121</v>
      </c>
      <c r="E269" s="496">
        <v>517700</v>
      </c>
      <c r="F269" s="573">
        <v>538750</v>
      </c>
      <c r="G269" s="498">
        <f t="shared" si="4"/>
        <v>104.06606142553602</v>
      </c>
    </row>
    <row r="270" spans="1:7" s="205" customFormat="1" ht="12.75" hidden="1">
      <c r="A270" s="175"/>
      <c r="B270" s="175"/>
      <c r="C270" s="175" t="s">
        <v>640</v>
      </c>
      <c r="D270" s="195" t="s">
        <v>641</v>
      </c>
      <c r="E270" s="491"/>
      <c r="F270" s="568"/>
      <c r="G270" s="492"/>
    </row>
    <row r="271" spans="1:7" s="205" customFormat="1" ht="12.75" hidden="1">
      <c r="A271" s="182"/>
      <c r="B271" s="182"/>
      <c r="C271" s="182"/>
      <c r="D271" s="183" t="s">
        <v>642</v>
      </c>
      <c r="E271" s="184"/>
      <c r="F271" s="185">
        <v>0</v>
      </c>
      <c r="G271" s="186"/>
    </row>
    <row r="272" spans="1:7" s="205" customFormat="1" ht="12.75" hidden="1">
      <c r="A272" s="182"/>
      <c r="B272" s="182"/>
      <c r="C272" s="182" t="s">
        <v>386</v>
      </c>
      <c r="D272" s="183"/>
      <c r="E272" s="184"/>
      <c r="F272" s="185"/>
      <c r="G272" s="186"/>
    </row>
    <row r="273" spans="1:7" s="205" customFormat="1" ht="12.75" hidden="1">
      <c r="A273" s="182"/>
      <c r="B273" s="182"/>
      <c r="C273" s="182" t="s">
        <v>398</v>
      </c>
      <c r="D273" s="183" t="s">
        <v>643</v>
      </c>
      <c r="E273" s="184"/>
      <c r="F273" s="185"/>
      <c r="G273" s="186"/>
    </row>
    <row r="274" spans="1:8" s="205" customFormat="1" ht="12.75" hidden="1">
      <c r="A274" s="182"/>
      <c r="B274" s="182"/>
      <c r="C274" s="182" t="s">
        <v>399</v>
      </c>
      <c r="D274" s="183" t="s">
        <v>644</v>
      </c>
      <c r="E274" s="184"/>
      <c r="F274" s="185"/>
      <c r="G274" s="186"/>
      <c r="H274" s="582"/>
    </row>
    <row r="275" spans="1:7" s="205" customFormat="1" ht="14.25" customHeight="1">
      <c r="A275" s="182"/>
      <c r="B275" s="182" t="s">
        <v>645</v>
      </c>
      <c r="C275" s="182"/>
      <c r="D275" s="183" t="s">
        <v>646</v>
      </c>
      <c r="E275" s="184">
        <f>E276+E277+E278</f>
        <v>43246</v>
      </c>
      <c r="F275" s="184">
        <f>F276+F277</f>
        <v>81000</v>
      </c>
      <c r="G275" s="186">
        <f t="shared" si="4"/>
        <v>187.30055958932618</v>
      </c>
    </row>
    <row r="276" spans="1:7" s="205" customFormat="1" ht="12.75">
      <c r="A276" s="182"/>
      <c r="B276" s="176" t="s">
        <v>376</v>
      </c>
      <c r="C276" s="177"/>
      <c r="D276" s="178" t="s">
        <v>377</v>
      </c>
      <c r="E276" s="179">
        <f>12000+500+1</f>
        <v>12501</v>
      </c>
      <c r="F276" s="180">
        <v>56000</v>
      </c>
      <c r="G276" s="181">
        <f t="shared" si="4"/>
        <v>447.96416286697064</v>
      </c>
    </row>
    <row r="277" spans="1:7" s="205" customFormat="1" ht="12.75">
      <c r="A277" s="182"/>
      <c r="B277" s="177"/>
      <c r="C277" s="177"/>
      <c r="D277" s="178" t="s">
        <v>121</v>
      </c>
      <c r="E277" s="179">
        <v>26745</v>
      </c>
      <c r="F277" s="180">
        <v>25000</v>
      </c>
      <c r="G277" s="181">
        <f t="shared" si="4"/>
        <v>93.47541596560104</v>
      </c>
    </row>
    <row r="278" spans="1:7" s="205" customFormat="1" ht="12.75">
      <c r="A278" s="601"/>
      <c r="B278" s="603"/>
      <c r="C278" s="603"/>
      <c r="D278" s="604" t="s">
        <v>391</v>
      </c>
      <c r="E278" s="605">
        <v>4000</v>
      </c>
      <c r="F278" s="605">
        <v>0</v>
      </c>
      <c r="G278" s="606">
        <f t="shared" si="4"/>
        <v>0</v>
      </c>
    </row>
    <row r="279" spans="1:7" s="205" customFormat="1" ht="12.75">
      <c r="A279" s="189"/>
      <c r="B279" s="175" t="s">
        <v>659</v>
      </c>
      <c r="C279" s="175"/>
      <c r="D279" s="195" t="s">
        <v>178</v>
      </c>
      <c r="E279" s="491">
        <f>E280+E281+E282</f>
        <v>8000</v>
      </c>
      <c r="F279" s="491">
        <f>F280+F281</f>
        <v>0</v>
      </c>
      <c r="G279" s="492">
        <f>F279/E279*100</f>
        <v>0</v>
      </c>
    </row>
    <row r="280" spans="1:7" s="205" customFormat="1" ht="13.5" thickBot="1">
      <c r="A280" s="189"/>
      <c r="B280" s="176" t="s">
        <v>376</v>
      </c>
      <c r="C280" s="177"/>
      <c r="D280" s="178" t="s">
        <v>377</v>
      </c>
      <c r="E280" s="179">
        <v>8000</v>
      </c>
      <c r="F280" s="180">
        <v>0</v>
      </c>
      <c r="G280" s="181">
        <f>F280/E280*100</f>
        <v>0</v>
      </c>
    </row>
    <row r="281" spans="1:7" s="205" customFormat="1" ht="12.75" hidden="1">
      <c r="A281" s="189"/>
      <c r="B281" s="177"/>
      <c r="C281" s="177"/>
      <c r="D281" s="178" t="s">
        <v>121</v>
      </c>
      <c r="E281" s="179">
        <v>0</v>
      </c>
      <c r="F281" s="180">
        <v>0</v>
      </c>
      <c r="G281" s="181" t="e">
        <f>F281/E281*100</f>
        <v>#DIV/0!</v>
      </c>
    </row>
    <row r="282" spans="1:7" s="618" customFormat="1" ht="13.5" hidden="1" thickBot="1">
      <c r="A282" s="258"/>
      <c r="B282" s="795"/>
      <c r="C282" s="795"/>
      <c r="D282" s="941" t="s">
        <v>391</v>
      </c>
      <c r="E282" s="560">
        <v>0</v>
      </c>
      <c r="F282" s="560">
        <v>0</v>
      </c>
      <c r="G282" s="940" t="s">
        <v>810</v>
      </c>
    </row>
    <row r="283" spans="1:7" s="205" customFormat="1" ht="13.5" hidden="1" thickBot="1">
      <c r="A283" s="189"/>
      <c r="B283" s="222"/>
      <c r="C283" s="222"/>
      <c r="D283" s="223"/>
      <c r="E283" s="560"/>
      <c r="F283" s="560"/>
      <c r="G283" s="204"/>
    </row>
    <row r="284" spans="1:7" s="205" customFormat="1" ht="13.5" thickBot="1">
      <c r="A284" s="167" t="s">
        <v>647</v>
      </c>
      <c r="B284" s="167"/>
      <c r="C284" s="167"/>
      <c r="D284" s="168" t="s">
        <v>648</v>
      </c>
      <c r="E284" s="169">
        <f>E285+E288+E293</f>
        <v>206000</v>
      </c>
      <c r="F284" s="169">
        <f>F285+F288+F293</f>
        <v>412500</v>
      </c>
      <c r="G284" s="170">
        <f t="shared" si="4"/>
        <v>200.24271844660194</v>
      </c>
    </row>
    <row r="285" spans="1:7" s="205" customFormat="1" ht="12.75">
      <c r="A285" s="175"/>
      <c r="B285" s="175" t="s">
        <v>762</v>
      </c>
      <c r="C285" s="175"/>
      <c r="D285" s="195" t="s">
        <v>763</v>
      </c>
      <c r="E285" s="184">
        <f>E287+E286</f>
        <v>63000</v>
      </c>
      <c r="F285" s="184">
        <f>F287+F286</f>
        <v>267000</v>
      </c>
      <c r="G285" s="174">
        <f>F285/E285*100</f>
        <v>423.8095238095238</v>
      </c>
    </row>
    <row r="286" spans="1:7" s="205" customFormat="1" ht="12.75">
      <c r="A286" s="222"/>
      <c r="B286" s="558" t="s">
        <v>376</v>
      </c>
      <c r="C286" s="222"/>
      <c r="D286" s="223" t="s">
        <v>377</v>
      </c>
      <c r="E286" s="959">
        <v>0</v>
      </c>
      <c r="F286" s="211">
        <v>10000</v>
      </c>
      <c r="G286" s="575" t="s">
        <v>810</v>
      </c>
    </row>
    <row r="287" spans="1:7" s="205" customFormat="1" ht="12.75">
      <c r="A287" s="494"/>
      <c r="B287" s="493"/>
      <c r="C287" s="494"/>
      <c r="D287" s="495" t="s">
        <v>384</v>
      </c>
      <c r="E287" s="496">
        <v>63000</v>
      </c>
      <c r="F287" s="573">
        <v>257000</v>
      </c>
      <c r="G287" s="498">
        <f>F287/E287*100</f>
        <v>407.9365079365079</v>
      </c>
    </row>
    <row r="288" spans="1:7" s="205" customFormat="1" ht="14.25" customHeight="1">
      <c r="A288" s="175"/>
      <c r="B288" s="175" t="s">
        <v>649</v>
      </c>
      <c r="C288" s="175"/>
      <c r="D288" s="195" t="s">
        <v>650</v>
      </c>
      <c r="E288" s="491">
        <f>E289+E290+E291+E292</f>
        <v>70000</v>
      </c>
      <c r="F288" s="568">
        <f>F289+F290+F291+F292</f>
        <v>75500</v>
      </c>
      <c r="G288" s="492">
        <f t="shared" si="4"/>
        <v>107.85714285714285</v>
      </c>
    </row>
    <row r="289" spans="1:7" s="205" customFormat="1" ht="12.75" hidden="1">
      <c r="A289" s="175"/>
      <c r="B289" s="196" t="s">
        <v>376</v>
      </c>
      <c r="C289" s="197"/>
      <c r="D289" s="198" t="s">
        <v>377</v>
      </c>
      <c r="E289" s="179">
        <v>0</v>
      </c>
      <c r="F289" s="199">
        <v>0</v>
      </c>
      <c r="G289" s="181" t="e">
        <f t="shared" si="4"/>
        <v>#DIV/0!</v>
      </c>
    </row>
    <row r="290" spans="1:7" s="205" customFormat="1" ht="12.75" hidden="1">
      <c r="A290" s="175"/>
      <c r="B290" s="197"/>
      <c r="C290" s="197"/>
      <c r="D290" s="198" t="s">
        <v>391</v>
      </c>
      <c r="E290" s="179">
        <v>0</v>
      </c>
      <c r="F290" s="199">
        <v>0</v>
      </c>
      <c r="G290" s="181" t="e">
        <f t="shared" si="4"/>
        <v>#DIV/0!</v>
      </c>
    </row>
    <row r="291" spans="1:7" s="205" customFormat="1" ht="12.75" hidden="1">
      <c r="A291" s="175"/>
      <c r="B291" s="197"/>
      <c r="C291" s="197"/>
      <c r="D291" s="198" t="s">
        <v>384</v>
      </c>
      <c r="E291" s="179">
        <v>0</v>
      </c>
      <c r="F291" s="199">
        <v>0</v>
      </c>
      <c r="G291" s="488" t="s">
        <v>810</v>
      </c>
    </row>
    <row r="292" spans="1:7" s="205" customFormat="1" ht="12.75">
      <c r="A292" s="489"/>
      <c r="B292" s="493" t="s">
        <v>652</v>
      </c>
      <c r="C292" s="494"/>
      <c r="D292" s="495" t="s">
        <v>121</v>
      </c>
      <c r="E292" s="496">
        <v>70000</v>
      </c>
      <c r="F292" s="573">
        <v>75500</v>
      </c>
      <c r="G292" s="498">
        <f t="shared" si="4"/>
        <v>107.85714285714285</v>
      </c>
    </row>
    <row r="293" spans="1:7" s="205" customFormat="1" ht="12.75">
      <c r="A293" s="175"/>
      <c r="B293" s="175" t="s">
        <v>651</v>
      </c>
      <c r="C293" s="175"/>
      <c r="D293" s="195" t="s">
        <v>178</v>
      </c>
      <c r="E293" s="491">
        <f>E294+E295</f>
        <v>73000</v>
      </c>
      <c r="F293" s="491">
        <f>F294+F295</f>
        <v>70000</v>
      </c>
      <c r="G293" s="492">
        <f t="shared" si="4"/>
        <v>95.8904109589041</v>
      </c>
    </row>
    <row r="294" spans="1:7" s="205" customFormat="1" ht="12.75">
      <c r="A294" s="182"/>
      <c r="B294" s="177" t="s">
        <v>652</v>
      </c>
      <c r="C294" s="177"/>
      <c r="D294" s="178" t="s">
        <v>377</v>
      </c>
      <c r="E294" s="179">
        <v>8000</v>
      </c>
      <c r="F294" s="179">
        <v>10000</v>
      </c>
      <c r="G294" s="181">
        <f t="shared" si="4"/>
        <v>125</v>
      </c>
    </row>
    <row r="295" spans="1:7" s="205" customFormat="1" ht="13.5" thickBot="1">
      <c r="A295" s="175"/>
      <c r="B295" s="197"/>
      <c r="C295" s="222"/>
      <c r="D295" s="223" t="s">
        <v>384</v>
      </c>
      <c r="E295" s="559">
        <v>65000</v>
      </c>
      <c r="F295" s="559">
        <v>60000</v>
      </c>
      <c r="G295" s="181">
        <f t="shared" si="4"/>
        <v>92.3076923076923</v>
      </c>
    </row>
    <row r="296" spans="1:7" s="205" customFormat="1" ht="13.5" thickBot="1">
      <c r="A296" s="1139" t="s">
        <v>653</v>
      </c>
      <c r="B296" s="1140"/>
      <c r="C296" s="1140"/>
      <c r="D296" s="1141"/>
      <c r="E296" s="224">
        <f>E284+E264+E246+E236+E220+E212+E186+E182+E177+E164+E132+E123+E83+E69+E58+E39+E24+E10</f>
        <v>10369427</v>
      </c>
      <c r="F296" s="224">
        <f>F284+F264+F246+F236+F220+F212+F186+F182+F177+F164+F132+F123+F83+F69+F58+F39+F24+F10</f>
        <v>13792507</v>
      </c>
      <c r="G296" s="225">
        <f t="shared" si="4"/>
        <v>133.01127439346456</v>
      </c>
    </row>
  </sheetData>
  <mergeCells count="8">
    <mergeCell ref="E6:E8"/>
    <mergeCell ref="F6:F8"/>
    <mergeCell ref="G6:G8"/>
    <mergeCell ref="A296:D296"/>
    <mergeCell ref="A6:A8"/>
    <mergeCell ref="B6:B8"/>
    <mergeCell ref="C6:C8"/>
    <mergeCell ref="D6:D8"/>
  </mergeCells>
  <printOptions/>
  <pageMargins left="1.15" right="0.38" top="0.29" bottom="0.59" header="0.2" footer="0.36"/>
  <pageSetup horizontalDpi="600" verticalDpi="600" orientation="portrait" paperSize="9" r:id="rId1"/>
  <headerFooter alignWithMargins="0">
    <oddFooter>&amp;CStrona &amp;P z &amp;N</oddFooter>
  </headerFooter>
  <rowBreaks count="1" manualBreakCount="1">
    <brk id="235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F62"/>
  <sheetViews>
    <sheetView workbookViewId="0" topLeftCell="A1">
      <selection activeCell="A5" sqref="A5"/>
    </sheetView>
  </sheetViews>
  <sheetFormatPr defaultColWidth="9.00390625" defaultRowHeight="12.75"/>
  <cols>
    <col min="1" max="1" width="6.00390625" style="0" customWidth="1"/>
    <col min="2" max="2" width="84.375" style="0" customWidth="1"/>
    <col min="3" max="3" width="23.375" style="409" customWidth="1"/>
    <col min="4" max="4" width="9.75390625" style="0" bestFit="1" customWidth="1"/>
  </cols>
  <sheetData>
    <row r="1" spans="3:4" ht="45" customHeight="1">
      <c r="C1" s="1148" t="s">
        <v>854</v>
      </c>
      <c r="D1" s="1148"/>
    </row>
    <row r="2" spans="1:3" ht="33.75">
      <c r="A2" s="1151" t="s">
        <v>894</v>
      </c>
      <c r="B2" s="1152"/>
      <c r="C2" s="1152"/>
    </row>
    <row r="3" spans="1:3" ht="23.25">
      <c r="A3" s="1153" t="s">
        <v>903</v>
      </c>
      <c r="B3" s="1154"/>
      <c r="C3" s="1154"/>
    </row>
    <row r="4" spans="1:3" ht="17.25" customHeight="1">
      <c r="A4" s="1155" t="s">
        <v>921</v>
      </c>
      <c r="B4" s="1155"/>
      <c r="C4" s="1155"/>
    </row>
    <row r="5" spans="1:3" ht="12.75" customHeight="1" thickBot="1">
      <c r="A5" s="237"/>
      <c r="B5" s="237"/>
      <c r="C5" s="609"/>
    </row>
    <row r="6" spans="1:3" ht="18.75" thickBot="1">
      <c r="A6" s="1149" t="s">
        <v>50</v>
      </c>
      <c r="B6" s="1150"/>
      <c r="C6" s="1104" t="s">
        <v>922</v>
      </c>
    </row>
    <row r="7" spans="1:3" s="205" customFormat="1" ht="16.5" thickBot="1">
      <c r="A7" s="390" t="s">
        <v>61</v>
      </c>
      <c r="B7" s="506" t="s">
        <v>923</v>
      </c>
      <c r="C7" s="526">
        <f>C9+C12</f>
        <v>2516325</v>
      </c>
    </row>
    <row r="8" spans="1:3" ht="15.75">
      <c r="A8" s="391"/>
      <c r="B8" s="507" t="s">
        <v>654</v>
      </c>
      <c r="C8" s="527"/>
    </row>
    <row r="9" spans="1:3" s="393" customFormat="1" ht="15.75">
      <c r="A9" s="392">
        <v>1</v>
      </c>
      <c r="B9" s="508" t="s">
        <v>924</v>
      </c>
      <c r="C9" s="528">
        <f>SUM(C10:C11)</f>
        <v>1420000</v>
      </c>
    </row>
    <row r="10" spans="1:3" ht="15.75">
      <c r="A10" s="394" t="s">
        <v>925</v>
      </c>
      <c r="B10" s="509" t="s">
        <v>926</v>
      </c>
      <c r="C10" s="529">
        <v>880000</v>
      </c>
    </row>
    <row r="11" spans="1:3" ht="15.75">
      <c r="A11" s="394" t="s">
        <v>925</v>
      </c>
      <c r="B11" s="509" t="s">
        <v>927</v>
      </c>
      <c r="C11" s="529">
        <v>540000</v>
      </c>
    </row>
    <row r="12" spans="1:3" s="205" customFormat="1" ht="15.75">
      <c r="A12" s="392">
        <v>2</v>
      </c>
      <c r="B12" s="508" t="s">
        <v>928</v>
      </c>
      <c r="C12" s="528">
        <f>SUM(C13:C29)</f>
        <v>1096325</v>
      </c>
    </row>
    <row r="13" spans="1:3" ht="15.75">
      <c r="A13" s="394" t="s">
        <v>925</v>
      </c>
      <c r="B13" s="509" t="s">
        <v>929</v>
      </c>
      <c r="C13" s="529">
        <v>380000</v>
      </c>
    </row>
    <row r="14" spans="1:3" ht="15.75">
      <c r="A14" s="394" t="s">
        <v>925</v>
      </c>
      <c r="B14" s="509" t="s">
        <v>930</v>
      </c>
      <c r="C14" s="529">
        <v>443000</v>
      </c>
    </row>
    <row r="15" spans="1:3" ht="15.75">
      <c r="A15" s="394" t="s">
        <v>925</v>
      </c>
      <c r="B15" s="509" t="s">
        <v>931</v>
      </c>
      <c r="C15" s="529">
        <v>76146</v>
      </c>
    </row>
    <row r="16" spans="1:3" ht="15.75">
      <c r="A16" s="394" t="s">
        <v>925</v>
      </c>
      <c r="B16" s="509" t="s">
        <v>932</v>
      </c>
      <c r="C16" s="529">
        <v>1100</v>
      </c>
    </row>
    <row r="17" spans="1:3" ht="15.75">
      <c r="A17" s="394" t="s">
        <v>925</v>
      </c>
      <c r="B17" s="509" t="s">
        <v>933</v>
      </c>
      <c r="C17" s="529">
        <v>15000</v>
      </c>
    </row>
    <row r="18" spans="1:3" ht="15.75">
      <c r="A18" s="394" t="s">
        <v>925</v>
      </c>
      <c r="B18" s="626" t="s">
        <v>94</v>
      </c>
      <c r="C18" s="529">
        <v>6000</v>
      </c>
    </row>
    <row r="19" spans="1:3" ht="15.75">
      <c r="A19" s="394" t="s">
        <v>925</v>
      </c>
      <c r="B19" s="510" t="s">
        <v>934</v>
      </c>
      <c r="C19" s="529">
        <v>2000</v>
      </c>
    </row>
    <row r="20" spans="1:3" ht="15.75">
      <c r="A20" s="394" t="s">
        <v>925</v>
      </c>
      <c r="B20" s="509" t="s">
        <v>935</v>
      </c>
      <c r="C20" s="529">
        <v>40000</v>
      </c>
    </row>
    <row r="21" spans="1:3" ht="15.75">
      <c r="A21" s="394" t="s">
        <v>925</v>
      </c>
      <c r="B21" s="510" t="s">
        <v>936</v>
      </c>
      <c r="C21" s="529">
        <v>33865</v>
      </c>
    </row>
    <row r="22" spans="1:3" ht="15.75">
      <c r="A22" s="394" t="s">
        <v>925</v>
      </c>
      <c r="B22" s="510" t="s">
        <v>937</v>
      </c>
      <c r="C22" s="529">
        <v>30800</v>
      </c>
    </row>
    <row r="23" spans="1:3" ht="15.75">
      <c r="A23" s="394" t="s">
        <v>925</v>
      </c>
      <c r="B23" s="510" t="s">
        <v>938</v>
      </c>
      <c r="C23" s="529">
        <v>3000</v>
      </c>
    </row>
    <row r="24" spans="1:3" ht="15.75">
      <c r="A24" s="394" t="s">
        <v>925</v>
      </c>
      <c r="B24" s="510" t="s">
        <v>939</v>
      </c>
      <c r="C24" s="529">
        <v>50000</v>
      </c>
    </row>
    <row r="25" spans="1:3" ht="15.75">
      <c r="A25" s="394" t="s">
        <v>925</v>
      </c>
      <c r="B25" s="510" t="s">
        <v>940</v>
      </c>
      <c r="C25" s="529">
        <v>4000</v>
      </c>
    </row>
    <row r="26" spans="1:3" ht="15.75">
      <c r="A26" s="394" t="s">
        <v>925</v>
      </c>
      <c r="B26" s="510" t="s">
        <v>941</v>
      </c>
      <c r="C26" s="529">
        <v>5000</v>
      </c>
    </row>
    <row r="27" spans="1:3" ht="15.75">
      <c r="A27" s="394" t="s">
        <v>925</v>
      </c>
      <c r="B27" s="510" t="s">
        <v>0</v>
      </c>
      <c r="C27" s="529">
        <v>5000</v>
      </c>
    </row>
    <row r="28" spans="1:3" ht="15.75">
      <c r="A28" s="394" t="s">
        <v>925</v>
      </c>
      <c r="B28" s="510" t="s">
        <v>1</v>
      </c>
      <c r="C28" s="529">
        <v>414</v>
      </c>
    </row>
    <row r="29" spans="1:3" ht="16.5" thickBot="1">
      <c r="A29" s="395" t="s">
        <v>925</v>
      </c>
      <c r="B29" s="511" t="s">
        <v>2</v>
      </c>
      <c r="C29" s="529">
        <v>1000</v>
      </c>
    </row>
    <row r="30" spans="1:3" s="393" customFormat="1" ht="16.5" thickBot="1">
      <c r="A30" s="396" t="s">
        <v>67</v>
      </c>
      <c r="B30" s="512" t="s">
        <v>3</v>
      </c>
      <c r="C30" s="530">
        <f>SUM(C31:C32)</f>
        <v>992751</v>
      </c>
    </row>
    <row r="31" spans="1:3" ht="15.75">
      <c r="A31" s="397" t="s">
        <v>925</v>
      </c>
      <c r="B31" s="513" t="s">
        <v>4</v>
      </c>
      <c r="C31" s="529">
        <v>0</v>
      </c>
    </row>
    <row r="32" spans="1:6" ht="16.5" thickBot="1">
      <c r="A32" s="395" t="s">
        <v>925</v>
      </c>
      <c r="B32" s="511" t="s">
        <v>5</v>
      </c>
      <c r="C32" s="529">
        <v>992751</v>
      </c>
      <c r="F32" s="63"/>
    </row>
    <row r="33" spans="1:3" s="393" customFormat="1" ht="16.5" thickBot="1">
      <c r="A33" s="396" t="s">
        <v>68</v>
      </c>
      <c r="B33" s="512" t="s">
        <v>6</v>
      </c>
      <c r="C33" s="530">
        <f>C34+C35+C36</f>
        <v>3990386</v>
      </c>
    </row>
    <row r="34" spans="1:3" s="236" customFormat="1" ht="15.75">
      <c r="A34" s="398">
        <v>1</v>
      </c>
      <c r="B34" s="514" t="s">
        <v>7</v>
      </c>
      <c r="C34" s="529">
        <v>1214988</v>
      </c>
    </row>
    <row r="35" spans="1:3" s="236" customFormat="1" ht="15.75">
      <c r="A35" s="399">
        <v>2</v>
      </c>
      <c r="B35" s="515" t="s">
        <v>8</v>
      </c>
      <c r="C35" s="529">
        <v>95564</v>
      </c>
    </row>
    <row r="36" spans="1:3" s="401" customFormat="1" ht="16.5" thickBot="1">
      <c r="A36" s="400">
        <v>3</v>
      </c>
      <c r="B36" s="516" t="s">
        <v>9</v>
      </c>
      <c r="C36" s="531">
        <v>2679834</v>
      </c>
    </row>
    <row r="37" spans="1:3" s="393" customFormat="1" ht="16.5" thickBot="1">
      <c r="A37" s="402" t="s">
        <v>89</v>
      </c>
      <c r="B37" s="512" t="s">
        <v>10</v>
      </c>
      <c r="C37" s="530">
        <f>C38+C39+C40</f>
        <v>503000</v>
      </c>
    </row>
    <row r="38" spans="1:3" s="236" customFormat="1" ht="15.75">
      <c r="A38" s="403">
        <v>1</v>
      </c>
      <c r="B38" s="517" t="s">
        <v>11</v>
      </c>
      <c r="C38" s="529">
        <v>65000</v>
      </c>
    </row>
    <row r="39" spans="1:3" s="236" customFormat="1" ht="15.75">
      <c r="A39" s="399">
        <v>2</v>
      </c>
      <c r="B39" s="518" t="s">
        <v>12</v>
      </c>
      <c r="C39" s="532">
        <v>409000</v>
      </c>
    </row>
    <row r="40" spans="1:3" s="236" customFormat="1" ht="16.5" thickBot="1">
      <c r="A40" s="404">
        <v>3</v>
      </c>
      <c r="B40" s="516" t="s">
        <v>13</v>
      </c>
      <c r="C40" s="531">
        <v>29000</v>
      </c>
    </row>
    <row r="41" spans="1:3" s="393" customFormat="1" ht="16.5" thickBot="1">
      <c r="A41" s="405" t="s">
        <v>14</v>
      </c>
      <c r="B41" s="512" t="s">
        <v>15</v>
      </c>
      <c r="C41" s="530">
        <f>C42+C47+C48+C49+C50+C51+C52+C53+C54+C55</f>
        <v>269025</v>
      </c>
    </row>
    <row r="42" spans="1:3" s="401" customFormat="1" ht="15.75">
      <c r="A42" s="406">
        <v>1</v>
      </c>
      <c r="B42" s="519" t="s">
        <v>16</v>
      </c>
      <c r="C42" s="533">
        <f>C43+C44+C45+C46</f>
        <v>120000</v>
      </c>
    </row>
    <row r="43" spans="1:3" ht="12.75">
      <c r="A43" s="394"/>
      <c r="B43" s="520" t="s">
        <v>17</v>
      </c>
      <c r="C43" s="534">
        <v>10000</v>
      </c>
    </row>
    <row r="44" spans="1:3" ht="12.75">
      <c r="A44" s="394"/>
      <c r="B44" s="520" t="s">
        <v>656</v>
      </c>
      <c r="C44" s="534">
        <v>110000</v>
      </c>
    </row>
    <row r="45" spans="1:3" ht="15.75" hidden="1">
      <c r="A45" s="394"/>
      <c r="B45" s="521" t="s">
        <v>18</v>
      </c>
      <c r="C45" s="529">
        <v>0</v>
      </c>
    </row>
    <row r="46" spans="1:3" ht="15.75" hidden="1">
      <c r="A46" s="394"/>
      <c r="B46" s="521" t="s">
        <v>19</v>
      </c>
      <c r="C46" s="529">
        <v>0</v>
      </c>
    </row>
    <row r="47" spans="1:3" s="236" customFormat="1" ht="15.75">
      <c r="A47" s="407">
        <v>2</v>
      </c>
      <c r="B47" s="522" t="s">
        <v>20</v>
      </c>
      <c r="C47" s="535">
        <v>4000</v>
      </c>
    </row>
    <row r="48" spans="1:3" s="236" customFormat="1" ht="15.75">
      <c r="A48" s="399">
        <v>3</v>
      </c>
      <c r="B48" s="515" t="s">
        <v>21</v>
      </c>
      <c r="C48" s="535">
        <v>60000</v>
      </c>
    </row>
    <row r="49" spans="1:3" s="236" customFormat="1" ht="15.75">
      <c r="A49" s="399">
        <v>4</v>
      </c>
      <c r="B49" s="515" t="s">
        <v>22</v>
      </c>
      <c r="C49" s="535">
        <v>27600</v>
      </c>
    </row>
    <row r="50" spans="1:3" s="236" customFormat="1" ht="15.75">
      <c r="A50" s="399">
        <v>5</v>
      </c>
      <c r="B50" s="522" t="s">
        <v>23</v>
      </c>
      <c r="C50" s="535">
        <v>2500</v>
      </c>
    </row>
    <row r="51" spans="1:3" s="236" customFormat="1" ht="15.75">
      <c r="A51" s="399">
        <v>6</v>
      </c>
      <c r="B51" s="522" t="s">
        <v>895</v>
      </c>
      <c r="C51" s="535">
        <v>53300</v>
      </c>
    </row>
    <row r="52" spans="1:3" s="236" customFormat="1" ht="17.25" customHeight="1">
      <c r="A52" s="399">
        <v>7</v>
      </c>
      <c r="B52" s="518" t="s">
        <v>24</v>
      </c>
      <c r="C52" s="536">
        <v>600</v>
      </c>
    </row>
    <row r="53" spans="1:3" s="236" customFormat="1" ht="15.75">
      <c r="A53" s="399">
        <v>8</v>
      </c>
      <c r="B53" s="518" t="s">
        <v>255</v>
      </c>
      <c r="C53" s="536">
        <v>25</v>
      </c>
    </row>
    <row r="54" spans="1:3" s="236" customFormat="1" ht="15.75" hidden="1">
      <c r="A54" s="399">
        <v>9</v>
      </c>
      <c r="B54" s="518" t="s">
        <v>25</v>
      </c>
      <c r="C54" s="536">
        <v>0</v>
      </c>
    </row>
    <row r="55" spans="1:3" s="236" customFormat="1" ht="16.5" thickBot="1">
      <c r="A55" s="505">
        <v>9</v>
      </c>
      <c r="B55" s="523" t="s">
        <v>26</v>
      </c>
      <c r="C55" s="537">
        <v>1000</v>
      </c>
    </row>
    <row r="56" spans="1:3" s="393" customFormat="1" ht="16.5" thickBot="1">
      <c r="A56" s="499" t="s">
        <v>27</v>
      </c>
      <c r="B56" s="524" t="s">
        <v>28</v>
      </c>
      <c r="C56" s="500">
        <f>60600+720+1492000+9000+85000</f>
        <v>1647320</v>
      </c>
    </row>
    <row r="57" spans="1:3" s="393" customFormat="1" ht="16.5" thickBot="1">
      <c r="A57" s="501" t="s">
        <v>29</v>
      </c>
      <c r="B57" s="525" t="s">
        <v>30</v>
      </c>
      <c r="C57" s="502">
        <f>12000+121000+106000+62000</f>
        <v>301000</v>
      </c>
    </row>
    <row r="58" spans="1:3" s="393" customFormat="1" ht="16.5" thickBot="1">
      <c r="A58" s="501" t="s">
        <v>31</v>
      </c>
      <c r="B58" s="525" t="s">
        <v>277</v>
      </c>
      <c r="C58" s="502">
        <f>40000+120000+2400</f>
        <v>162400</v>
      </c>
    </row>
    <row r="59" spans="1:3" s="393" customFormat="1" ht="32.25" thickBot="1">
      <c r="A59" s="501" t="s">
        <v>731</v>
      </c>
      <c r="B59" s="524" t="s">
        <v>278</v>
      </c>
      <c r="C59" s="503">
        <v>225600</v>
      </c>
    </row>
    <row r="60" spans="1:3" s="393" customFormat="1" ht="31.5" thickBot="1">
      <c r="A60" s="501" t="s">
        <v>32</v>
      </c>
      <c r="B60" s="524" t="s">
        <v>279</v>
      </c>
      <c r="C60" s="503">
        <v>25000</v>
      </c>
    </row>
    <row r="61" spans="1:3" s="393" customFormat="1" ht="32.25" thickBot="1">
      <c r="A61" s="501" t="s">
        <v>732</v>
      </c>
      <c r="B61" s="524" t="s">
        <v>280</v>
      </c>
      <c r="C61" s="503">
        <v>93600</v>
      </c>
    </row>
    <row r="62" spans="1:3" s="63" customFormat="1" ht="21" thickBot="1">
      <c r="A62" s="1146" t="s">
        <v>33</v>
      </c>
      <c r="B62" s="1147"/>
      <c r="C62" s="504">
        <f>C7+C30+C33+C37+C41+SUM(C56:C61)</f>
        <v>10726407</v>
      </c>
    </row>
  </sheetData>
  <mergeCells count="6">
    <mergeCell ref="A62:B62"/>
    <mergeCell ref="C1:D1"/>
    <mergeCell ref="A6:B6"/>
    <mergeCell ref="A2:C2"/>
    <mergeCell ref="A3:C3"/>
    <mergeCell ref="A4:C4"/>
  </mergeCells>
  <printOptions/>
  <pageMargins left="1.08" right="0.48" top="0.24" bottom="0.52" header="0.18" footer="0.34"/>
  <pageSetup fitToHeight="1" fitToWidth="1" horizontalDpi="600" verticalDpi="600" orientation="portrait" paperSize="9" scale="75" r:id="rId1"/>
  <headerFooter alignWithMargins="0"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20">
    <tabColor indexed="42"/>
    <pageSetUpPr fitToPage="1"/>
  </sheetPr>
  <dimension ref="A1:I153"/>
  <sheetViews>
    <sheetView showGridLines="0" defaultGridColor="0" view="pageBreakPreview" zoomScale="85" zoomScaleSheetLayoutView="85" colorId="7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3" sqref="A3"/>
    </sheetView>
  </sheetViews>
  <sheetFormatPr defaultColWidth="9.00390625" defaultRowHeight="12.75"/>
  <cols>
    <col min="1" max="1" width="6.00390625" style="3" customWidth="1"/>
    <col min="2" max="2" width="10.125" style="3" customWidth="1"/>
    <col min="3" max="3" width="6.00390625" style="3" customWidth="1"/>
    <col min="4" max="4" width="76.375" style="40" customWidth="1"/>
    <col min="5" max="5" width="19.625" style="0" customWidth="1"/>
    <col min="6" max="7" width="18.00390625" style="2" customWidth="1"/>
  </cols>
  <sheetData>
    <row r="1" spans="6:7" ht="45" customHeight="1">
      <c r="F1" s="1163" t="s">
        <v>855</v>
      </c>
      <c r="G1" s="1163"/>
    </row>
    <row r="2" spans="1:7" ht="30" customHeight="1">
      <c r="A2" s="1164" t="s">
        <v>317</v>
      </c>
      <c r="B2" s="1164"/>
      <c r="C2" s="1164"/>
      <c r="D2" s="1164"/>
      <c r="E2" s="1164"/>
      <c r="F2" s="1164"/>
      <c r="G2" s="1165"/>
    </row>
    <row r="3" spans="1:7" ht="16.5" thickBot="1">
      <c r="A3" s="32"/>
      <c r="B3" s="32"/>
      <c r="C3" s="32"/>
      <c r="D3" s="32"/>
      <c r="E3" s="32"/>
      <c r="F3" s="32"/>
      <c r="G3" s="38" t="s">
        <v>92</v>
      </c>
    </row>
    <row r="4" spans="1:7" s="23" customFormat="1" ht="12.75">
      <c r="A4" s="1161" t="s">
        <v>52</v>
      </c>
      <c r="B4" s="1159" t="s">
        <v>173</v>
      </c>
      <c r="C4" s="1159" t="s">
        <v>54</v>
      </c>
      <c r="D4" s="1159" t="s">
        <v>170</v>
      </c>
      <c r="E4" s="1159" t="s">
        <v>899</v>
      </c>
      <c r="F4" s="1159" t="s">
        <v>120</v>
      </c>
      <c r="G4" s="1166"/>
    </row>
    <row r="5" spans="1:7" s="29" customFormat="1" ht="26.25" thickBot="1">
      <c r="A5" s="1162"/>
      <c r="B5" s="1160"/>
      <c r="C5" s="1160"/>
      <c r="D5" s="1160"/>
      <c r="E5" s="1160"/>
      <c r="F5" s="1102" t="s">
        <v>171</v>
      </c>
      <c r="G5" s="1103" t="s">
        <v>172</v>
      </c>
    </row>
    <row r="6" spans="1:7" s="649" customFormat="1" ht="7.5" customHeight="1" thickBot="1">
      <c r="A6" s="646">
        <v>1</v>
      </c>
      <c r="B6" s="647">
        <v>2</v>
      </c>
      <c r="C6" s="647">
        <v>3</v>
      </c>
      <c r="D6" s="647">
        <v>4</v>
      </c>
      <c r="E6" s="647">
        <v>5</v>
      </c>
      <c r="F6" s="647">
        <v>6</v>
      </c>
      <c r="G6" s="648">
        <v>7</v>
      </c>
    </row>
    <row r="7" spans="1:8" s="254" customFormat="1" ht="16.5" hidden="1" thickBot="1">
      <c r="A7" s="921" t="s">
        <v>327</v>
      </c>
      <c r="B7" s="922"/>
      <c r="C7" s="923"/>
      <c r="D7" s="924" t="s">
        <v>373</v>
      </c>
      <c r="E7" s="717">
        <f aca="true" t="shared" si="0" ref="E7:G8">E8</f>
        <v>0</v>
      </c>
      <c r="F7" s="717">
        <f t="shared" si="0"/>
        <v>0</v>
      </c>
      <c r="G7" s="925">
        <f t="shared" si="0"/>
        <v>0</v>
      </c>
      <c r="H7" s="920">
        <f>E7-F7-G7</f>
        <v>0</v>
      </c>
    </row>
    <row r="8" spans="1:8" s="917" customFormat="1" ht="14.25" hidden="1">
      <c r="A8" s="913"/>
      <c r="B8" s="914" t="s">
        <v>380</v>
      </c>
      <c r="C8" s="915"/>
      <c r="D8" s="916" t="s">
        <v>381</v>
      </c>
      <c r="E8" s="718">
        <f t="shared" si="0"/>
        <v>0</v>
      </c>
      <c r="F8" s="718">
        <f t="shared" si="0"/>
        <v>0</v>
      </c>
      <c r="G8" s="720">
        <f t="shared" si="0"/>
        <v>0</v>
      </c>
      <c r="H8" s="275">
        <f>E8-F8-G8</f>
        <v>0</v>
      </c>
    </row>
    <row r="9" spans="1:8" s="254" customFormat="1" ht="13.5" hidden="1" thickBot="1">
      <c r="A9" s="918"/>
      <c r="B9" s="919"/>
      <c r="C9" s="778">
        <v>6208</v>
      </c>
      <c r="D9" s="779" t="s">
        <v>96</v>
      </c>
      <c r="E9" s="719"/>
      <c r="F9" s="719">
        <v>0</v>
      </c>
      <c r="G9" s="722"/>
      <c r="H9" s="920">
        <f>E9-F9-G9</f>
        <v>0</v>
      </c>
    </row>
    <row r="10" spans="1:8" s="417" customFormat="1" ht="16.5" thickBot="1">
      <c r="A10" s="632" t="s">
        <v>175</v>
      </c>
      <c r="B10" s="41"/>
      <c r="C10" s="41"/>
      <c r="D10" s="42" t="s">
        <v>176</v>
      </c>
      <c r="E10" s="43">
        <f aca="true" t="shared" si="1" ref="E10:G11">E11</f>
        <v>2500</v>
      </c>
      <c r="F10" s="43">
        <f t="shared" si="1"/>
        <v>2500</v>
      </c>
      <c r="G10" s="629">
        <f t="shared" si="1"/>
        <v>0</v>
      </c>
      <c r="H10" s="894">
        <f aca="true" t="shared" si="2" ref="H10:H43">E10-F10-G10</f>
        <v>0</v>
      </c>
    </row>
    <row r="11" spans="1:8" s="557" customFormat="1" ht="14.25">
      <c r="A11" s="633"/>
      <c r="B11" s="270" t="s">
        <v>177</v>
      </c>
      <c r="C11" s="270"/>
      <c r="D11" s="271" t="s">
        <v>178</v>
      </c>
      <c r="E11" s="272">
        <f t="shared" si="1"/>
        <v>2500</v>
      </c>
      <c r="F11" s="272">
        <f t="shared" si="1"/>
        <v>2500</v>
      </c>
      <c r="G11" s="630">
        <f t="shared" si="1"/>
        <v>0</v>
      </c>
      <c r="H11" s="273">
        <f t="shared" si="2"/>
        <v>0</v>
      </c>
    </row>
    <row r="12" spans="1:8" s="417" customFormat="1" ht="39" thickBot="1">
      <c r="A12" s="634"/>
      <c r="B12" s="49"/>
      <c r="C12" s="49" t="s">
        <v>179</v>
      </c>
      <c r="D12" s="50" t="s">
        <v>840</v>
      </c>
      <c r="E12" s="51">
        <v>2500</v>
      </c>
      <c r="F12" s="51">
        <v>2500</v>
      </c>
      <c r="G12" s="631">
        <v>0</v>
      </c>
      <c r="H12" s="894">
        <f t="shared" si="2"/>
        <v>0</v>
      </c>
    </row>
    <row r="13" spans="1:8" s="417" customFormat="1" ht="16.5" thickBot="1">
      <c r="A13" s="632">
        <v>600</v>
      </c>
      <c r="B13" s="41"/>
      <c r="C13" s="41"/>
      <c r="D13" s="42" t="s">
        <v>181</v>
      </c>
      <c r="E13" s="43">
        <f>E14+E16</f>
        <v>385600</v>
      </c>
      <c r="F13" s="43">
        <f>F14+F16</f>
        <v>40000</v>
      </c>
      <c r="G13" s="629">
        <f>G14+G16</f>
        <v>345600</v>
      </c>
      <c r="H13" s="894">
        <f t="shared" si="2"/>
        <v>0</v>
      </c>
    </row>
    <row r="14" spans="1:8" s="557" customFormat="1" ht="14.25">
      <c r="A14" s="633"/>
      <c r="B14" s="270">
        <v>60014</v>
      </c>
      <c r="C14" s="270"/>
      <c r="D14" s="271" t="s">
        <v>182</v>
      </c>
      <c r="E14" s="272">
        <f>E15</f>
        <v>40000</v>
      </c>
      <c r="F14" s="272">
        <f>F15</f>
        <v>40000</v>
      </c>
      <c r="G14" s="630">
        <f>G15</f>
        <v>0</v>
      </c>
      <c r="H14" s="273">
        <f t="shared" si="2"/>
        <v>0</v>
      </c>
    </row>
    <row r="15" spans="1:8" s="417" customFormat="1" ht="25.5">
      <c r="A15" s="635"/>
      <c r="B15" s="52"/>
      <c r="C15" s="52" t="s">
        <v>183</v>
      </c>
      <c r="D15" s="883" t="s">
        <v>184</v>
      </c>
      <c r="E15" s="54">
        <f>F15+G15</f>
        <v>40000</v>
      </c>
      <c r="F15" s="54">
        <v>40000</v>
      </c>
      <c r="G15" s="636">
        <v>0</v>
      </c>
      <c r="H15" s="894">
        <f t="shared" si="2"/>
        <v>0</v>
      </c>
    </row>
    <row r="16" spans="1:8" s="557" customFormat="1" ht="14.25">
      <c r="A16" s="633"/>
      <c r="B16" s="270">
        <v>60016</v>
      </c>
      <c r="C16" s="270"/>
      <c r="D16" s="271" t="s">
        <v>396</v>
      </c>
      <c r="E16" s="272">
        <f>E19+E17+E18</f>
        <v>345600</v>
      </c>
      <c r="F16" s="272">
        <f>F19+F17+F18</f>
        <v>0</v>
      </c>
      <c r="G16" s="630">
        <f>G19+G17+G18</f>
        <v>345600</v>
      </c>
      <c r="H16" s="273">
        <f t="shared" si="2"/>
        <v>0</v>
      </c>
    </row>
    <row r="17" spans="1:8" s="417" customFormat="1" ht="12.75" hidden="1">
      <c r="A17" s="895"/>
      <c r="B17" s="896"/>
      <c r="C17" s="896">
        <v>6208</v>
      </c>
      <c r="D17" s="53" t="s">
        <v>96</v>
      </c>
      <c r="E17" s="897">
        <v>0</v>
      </c>
      <c r="F17" s="897"/>
      <c r="G17" s="898">
        <v>0</v>
      </c>
      <c r="H17" s="894">
        <f t="shared" si="2"/>
        <v>0</v>
      </c>
    </row>
    <row r="18" spans="1:8" s="417" customFormat="1" ht="25.5">
      <c r="A18" s="899"/>
      <c r="B18" s="900"/>
      <c r="C18" s="49">
        <v>6290</v>
      </c>
      <c r="D18" s="50" t="s">
        <v>736</v>
      </c>
      <c r="E18" s="51">
        <v>225600</v>
      </c>
      <c r="F18" s="51">
        <v>0</v>
      </c>
      <c r="G18" s="631">
        <v>225600</v>
      </c>
      <c r="H18" s="894"/>
    </row>
    <row r="19" spans="1:9" s="417" customFormat="1" ht="26.25" thickBot="1">
      <c r="A19" s="634"/>
      <c r="B19" s="49"/>
      <c r="C19" s="49">
        <v>6620</v>
      </c>
      <c r="D19" s="50" t="s">
        <v>839</v>
      </c>
      <c r="E19" s="51">
        <v>120000</v>
      </c>
      <c r="F19" s="51">
        <v>0</v>
      </c>
      <c r="G19" s="631">
        <v>120000</v>
      </c>
      <c r="H19" s="894">
        <f t="shared" si="2"/>
        <v>0</v>
      </c>
      <c r="I19" s="417" t="s">
        <v>524</v>
      </c>
    </row>
    <row r="20" spans="1:8" s="417" customFormat="1" ht="16.5" thickBot="1">
      <c r="A20" s="627" t="s">
        <v>400</v>
      </c>
      <c r="B20" s="414"/>
      <c r="C20" s="414"/>
      <c r="D20" s="415" t="s">
        <v>332</v>
      </c>
      <c r="E20" s="416">
        <f aca="true" t="shared" si="3" ref="E20:G21">E21</f>
        <v>25000</v>
      </c>
      <c r="F20" s="416">
        <f t="shared" si="3"/>
        <v>0</v>
      </c>
      <c r="G20" s="637">
        <f t="shared" si="3"/>
        <v>25000</v>
      </c>
      <c r="H20" s="901">
        <f t="shared" si="2"/>
        <v>0</v>
      </c>
    </row>
    <row r="21" spans="1:8" s="557" customFormat="1" ht="14.25">
      <c r="A21" s="628"/>
      <c r="B21" s="884" t="s">
        <v>406</v>
      </c>
      <c r="C21" s="884"/>
      <c r="D21" s="885" t="s">
        <v>178</v>
      </c>
      <c r="E21" s="886">
        <f t="shared" si="3"/>
        <v>25000</v>
      </c>
      <c r="F21" s="886">
        <f t="shared" si="3"/>
        <v>0</v>
      </c>
      <c r="G21" s="887">
        <f t="shared" si="3"/>
        <v>25000</v>
      </c>
      <c r="H21" s="273">
        <f t="shared" si="2"/>
        <v>0</v>
      </c>
    </row>
    <row r="22" spans="1:9" s="417" customFormat="1" ht="13.5" thickBot="1">
      <c r="A22" s="418"/>
      <c r="B22" s="888"/>
      <c r="C22" s="52">
        <v>6208</v>
      </c>
      <c r="D22" s="53" t="s">
        <v>96</v>
      </c>
      <c r="E22" s="889">
        <v>25000</v>
      </c>
      <c r="F22" s="54"/>
      <c r="G22" s="890">
        <v>25000</v>
      </c>
      <c r="H22" s="894">
        <f t="shared" si="2"/>
        <v>0</v>
      </c>
      <c r="I22" s="419"/>
    </row>
    <row r="23" spans="1:8" s="417" customFormat="1" ht="16.5" thickBot="1">
      <c r="A23" s="632">
        <v>700</v>
      </c>
      <c r="B23" s="41"/>
      <c r="C23" s="41"/>
      <c r="D23" s="44" t="s">
        <v>185</v>
      </c>
      <c r="E23" s="43">
        <f>E24</f>
        <v>503000</v>
      </c>
      <c r="F23" s="43">
        <f>F24</f>
        <v>94000</v>
      </c>
      <c r="G23" s="629">
        <f>G24</f>
        <v>409000</v>
      </c>
      <c r="H23" s="894">
        <f t="shared" si="2"/>
        <v>0</v>
      </c>
    </row>
    <row r="24" spans="1:8" s="557" customFormat="1" ht="14.25">
      <c r="A24" s="633"/>
      <c r="B24" s="270">
        <v>70005</v>
      </c>
      <c r="C24" s="270"/>
      <c r="D24" s="320" t="s">
        <v>186</v>
      </c>
      <c r="E24" s="272">
        <f>E25+E26+E27</f>
        <v>503000</v>
      </c>
      <c r="F24" s="272">
        <f>F25+F26+F27</f>
        <v>94000</v>
      </c>
      <c r="G24" s="630">
        <f>G25+G26+G27</f>
        <v>409000</v>
      </c>
      <c r="H24" s="273">
        <f t="shared" si="2"/>
        <v>0</v>
      </c>
    </row>
    <row r="25" spans="1:8" s="417" customFormat="1" ht="12.75">
      <c r="A25" s="635"/>
      <c r="B25" s="52"/>
      <c r="C25" s="52" t="s">
        <v>187</v>
      </c>
      <c r="D25" s="53" t="s">
        <v>197</v>
      </c>
      <c r="E25" s="54">
        <f>F25+G25</f>
        <v>29000</v>
      </c>
      <c r="F25" s="54">
        <v>29000</v>
      </c>
      <c r="G25" s="636"/>
      <c r="H25" s="894">
        <f t="shared" si="2"/>
        <v>0</v>
      </c>
    </row>
    <row r="26" spans="1:8" s="417" customFormat="1" ht="38.25">
      <c r="A26" s="635"/>
      <c r="B26" s="52"/>
      <c r="C26" s="52" t="s">
        <v>179</v>
      </c>
      <c r="D26" s="53" t="s">
        <v>840</v>
      </c>
      <c r="E26" s="54">
        <v>65000</v>
      </c>
      <c r="F26" s="54">
        <v>65000</v>
      </c>
      <c r="G26" s="636">
        <v>0</v>
      </c>
      <c r="H26" s="894">
        <f t="shared" si="2"/>
        <v>0</v>
      </c>
    </row>
    <row r="27" spans="1:8" s="417" customFormat="1" ht="26.25" thickBot="1">
      <c r="A27" s="634"/>
      <c r="B27" s="49"/>
      <c r="C27" s="49" t="s">
        <v>199</v>
      </c>
      <c r="D27" s="50" t="s">
        <v>202</v>
      </c>
      <c r="E27" s="51">
        <f>9000+400000</f>
        <v>409000</v>
      </c>
      <c r="F27" s="51">
        <v>0</v>
      </c>
      <c r="G27" s="631">
        <f>9000+400000</f>
        <v>409000</v>
      </c>
      <c r="H27" s="894">
        <f t="shared" si="2"/>
        <v>0</v>
      </c>
    </row>
    <row r="28" spans="1:8" s="417" customFormat="1" ht="16.5" thickBot="1">
      <c r="A28" s="632">
        <v>710</v>
      </c>
      <c r="B28" s="41"/>
      <c r="C28" s="41"/>
      <c r="D28" s="42" t="s">
        <v>203</v>
      </c>
      <c r="E28" s="43">
        <f aca="true" t="shared" si="4" ref="E28:G29">E29</f>
        <v>4000</v>
      </c>
      <c r="F28" s="43">
        <f t="shared" si="4"/>
        <v>4000</v>
      </c>
      <c r="G28" s="629">
        <f t="shared" si="4"/>
        <v>0</v>
      </c>
      <c r="H28" s="894">
        <f t="shared" si="2"/>
        <v>0</v>
      </c>
    </row>
    <row r="29" spans="1:8" s="417" customFormat="1" ht="12.75">
      <c r="A29" s="902"/>
      <c r="B29" s="903">
        <v>71035</v>
      </c>
      <c r="C29" s="903"/>
      <c r="D29" s="904" t="s">
        <v>204</v>
      </c>
      <c r="E29" s="905">
        <f t="shared" si="4"/>
        <v>4000</v>
      </c>
      <c r="F29" s="905">
        <f t="shared" si="4"/>
        <v>4000</v>
      </c>
      <c r="G29" s="906">
        <f t="shared" si="4"/>
        <v>0</v>
      </c>
      <c r="H29" s="894">
        <f t="shared" si="2"/>
        <v>0</v>
      </c>
    </row>
    <row r="30" spans="1:8" s="417" customFormat="1" ht="12" customHeight="1">
      <c r="A30" s="635"/>
      <c r="B30" s="52"/>
      <c r="C30" s="52" t="s">
        <v>205</v>
      </c>
      <c r="D30" s="53" t="s">
        <v>206</v>
      </c>
      <c r="E30" s="54">
        <f>F30+G30</f>
        <v>4000</v>
      </c>
      <c r="F30" s="54">
        <v>4000</v>
      </c>
      <c r="G30" s="636">
        <v>0</v>
      </c>
      <c r="H30" s="894">
        <f t="shared" si="2"/>
        <v>0</v>
      </c>
    </row>
    <row r="31" spans="1:8" s="417" customFormat="1" ht="1.5" customHeight="1" thickBot="1">
      <c r="A31" s="638"/>
      <c r="B31" s="57"/>
      <c r="C31" s="57"/>
      <c r="D31" s="58"/>
      <c r="E31" s="59"/>
      <c r="F31" s="59"/>
      <c r="G31" s="639"/>
      <c r="H31" s="894"/>
    </row>
    <row r="32" spans="1:8" s="417" customFormat="1" ht="16.5" thickBot="1">
      <c r="A32" s="632">
        <v>750</v>
      </c>
      <c r="B32" s="41"/>
      <c r="C32" s="41"/>
      <c r="D32" s="42" t="s">
        <v>207</v>
      </c>
      <c r="E32" s="43">
        <f>E33+E36+E38</f>
        <v>64600</v>
      </c>
      <c r="F32" s="43">
        <f>F33+F36+F38</f>
        <v>64600</v>
      </c>
      <c r="G32" s="629">
        <f>G33+G36+G38</f>
        <v>0</v>
      </c>
      <c r="H32" s="894">
        <f t="shared" si="2"/>
        <v>0</v>
      </c>
    </row>
    <row r="33" spans="1:8" s="557" customFormat="1" ht="14.25">
      <c r="A33" s="633"/>
      <c r="B33" s="270">
        <v>75011</v>
      </c>
      <c r="C33" s="270"/>
      <c r="D33" s="271" t="s">
        <v>208</v>
      </c>
      <c r="E33" s="272">
        <f>E34+E35</f>
        <v>61200</v>
      </c>
      <c r="F33" s="272">
        <f>F34+F35</f>
        <v>61200</v>
      </c>
      <c r="G33" s="630">
        <f>G34+G35</f>
        <v>0</v>
      </c>
      <c r="H33" s="273">
        <f t="shared" si="2"/>
        <v>0</v>
      </c>
    </row>
    <row r="34" spans="1:8" s="891" customFormat="1" ht="25.5">
      <c r="A34" s="635"/>
      <c r="B34" s="52"/>
      <c r="C34" s="52" t="s">
        <v>209</v>
      </c>
      <c r="D34" s="53" t="s">
        <v>210</v>
      </c>
      <c r="E34" s="54">
        <v>60600</v>
      </c>
      <c r="F34" s="54">
        <v>60600</v>
      </c>
      <c r="G34" s="636">
        <v>0</v>
      </c>
      <c r="H34" s="894">
        <f t="shared" si="2"/>
        <v>0</v>
      </c>
    </row>
    <row r="35" spans="1:8" s="891" customFormat="1" ht="25.5">
      <c r="A35" s="635"/>
      <c r="B35" s="52"/>
      <c r="C35" s="52" t="s">
        <v>211</v>
      </c>
      <c r="D35" s="53" t="s">
        <v>212</v>
      </c>
      <c r="E35" s="54">
        <v>600</v>
      </c>
      <c r="F35" s="54">
        <v>600</v>
      </c>
      <c r="G35" s="636">
        <v>0</v>
      </c>
      <c r="H35" s="894">
        <f t="shared" si="2"/>
        <v>0</v>
      </c>
    </row>
    <row r="36" spans="1:8" s="557" customFormat="1" ht="14.25">
      <c r="A36" s="640"/>
      <c r="B36" s="45">
        <v>75020</v>
      </c>
      <c r="C36" s="45"/>
      <c r="D36" s="46" t="s">
        <v>213</v>
      </c>
      <c r="E36" s="47">
        <f>E37</f>
        <v>2400</v>
      </c>
      <c r="F36" s="47">
        <f>F37</f>
        <v>2400</v>
      </c>
      <c r="G36" s="641">
        <f>G37</f>
        <v>0</v>
      </c>
      <c r="H36" s="273">
        <f t="shared" si="2"/>
        <v>0</v>
      </c>
    </row>
    <row r="37" spans="1:8" s="417" customFormat="1" ht="25.5">
      <c r="A37" s="635"/>
      <c r="B37" s="52"/>
      <c r="C37" s="52" t="s">
        <v>183</v>
      </c>
      <c r="D37" s="53" t="s">
        <v>184</v>
      </c>
      <c r="E37" s="54">
        <v>2400</v>
      </c>
      <c r="F37" s="54">
        <v>2400</v>
      </c>
      <c r="G37" s="636">
        <v>0</v>
      </c>
      <c r="H37" s="894">
        <f t="shared" si="2"/>
        <v>0</v>
      </c>
    </row>
    <row r="38" spans="1:8" s="557" customFormat="1" ht="14.25">
      <c r="A38" s="640"/>
      <c r="B38" s="45">
        <v>75023</v>
      </c>
      <c r="C38" s="45"/>
      <c r="D38" s="46" t="s">
        <v>214</v>
      </c>
      <c r="E38" s="47">
        <f>E39+E40</f>
        <v>1000</v>
      </c>
      <c r="F38" s="47">
        <f>F39+F40</f>
        <v>1000</v>
      </c>
      <c r="G38" s="641">
        <f>G39+G40</f>
        <v>0</v>
      </c>
      <c r="H38" s="273">
        <f t="shared" si="2"/>
        <v>0</v>
      </c>
    </row>
    <row r="39" spans="1:8" s="417" customFormat="1" ht="13.5" thickBot="1">
      <c r="A39" s="907"/>
      <c r="B39" s="908"/>
      <c r="C39" s="49" t="s">
        <v>205</v>
      </c>
      <c r="D39" s="50" t="s">
        <v>215</v>
      </c>
      <c r="E39" s="51">
        <v>1000</v>
      </c>
      <c r="F39" s="51">
        <v>1000</v>
      </c>
      <c r="G39" s="631"/>
      <c r="H39" s="894">
        <f t="shared" si="2"/>
        <v>0</v>
      </c>
    </row>
    <row r="40" spans="1:8" s="254" customFormat="1" ht="13.5" hidden="1" thickBot="1">
      <c r="A40" s="926"/>
      <c r="B40" s="777"/>
      <c r="C40" s="778">
        <v>6208</v>
      </c>
      <c r="D40" s="779" t="s">
        <v>96</v>
      </c>
      <c r="E40" s="719">
        <v>0</v>
      </c>
      <c r="F40" s="719"/>
      <c r="G40" s="722">
        <v>0</v>
      </c>
      <c r="H40" s="920">
        <f t="shared" si="2"/>
        <v>0</v>
      </c>
    </row>
    <row r="41" spans="1:8" s="417" customFormat="1" ht="32.25" thickBot="1">
      <c r="A41" s="632">
        <v>751</v>
      </c>
      <c r="B41" s="41"/>
      <c r="C41" s="41"/>
      <c r="D41" s="42" t="s">
        <v>216</v>
      </c>
      <c r="E41" s="43">
        <f aca="true" t="shared" si="5" ref="E41:G42">E42</f>
        <v>720</v>
      </c>
      <c r="F41" s="43">
        <f t="shared" si="5"/>
        <v>720</v>
      </c>
      <c r="G41" s="629">
        <f t="shared" si="5"/>
        <v>0</v>
      </c>
      <c r="H41" s="894">
        <f t="shared" si="2"/>
        <v>0</v>
      </c>
    </row>
    <row r="42" spans="1:8" s="557" customFormat="1" ht="14.25">
      <c r="A42" s="633"/>
      <c r="B42" s="270">
        <v>75101</v>
      </c>
      <c r="C42" s="270"/>
      <c r="D42" s="271" t="s">
        <v>217</v>
      </c>
      <c r="E42" s="272">
        <f t="shared" si="5"/>
        <v>720</v>
      </c>
      <c r="F42" s="272">
        <f t="shared" si="5"/>
        <v>720</v>
      </c>
      <c r="G42" s="630">
        <f t="shared" si="5"/>
        <v>0</v>
      </c>
      <c r="H42" s="273">
        <f t="shared" si="2"/>
        <v>0</v>
      </c>
    </row>
    <row r="43" spans="1:8" s="417" customFormat="1" ht="26.25" thickBot="1">
      <c r="A43" s="634"/>
      <c r="B43" s="49"/>
      <c r="C43" s="49" t="s">
        <v>209</v>
      </c>
      <c r="D43" s="50" t="s">
        <v>210</v>
      </c>
      <c r="E43" s="51">
        <v>720</v>
      </c>
      <c r="F43" s="51">
        <v>720</v>
      </c>
      <c r="G43" s="631">
        <v>0</v>
      </c>
      <c r="H43" s="894">
        <f t="shared" si="2"/>
        <v>0</v>
      </c>
    </row>
    <row r="44" spans="1:8" s="417" customFormat="1" ht="48" thickBot="1">
      <c r="A44" s="632">
        <v>756</v>
      </c>
      <c r="B44" s="41"/>
      <c r="C44" s="41"/>
      <c r="D44" s="42" t="s">
        <v>218</v>
      </c>
      <c r="E44" s="43">
        <f>E45+E47+E53+E64+E69+E71</f>
        <v>3684101</v>
      </c>
      <c r="F44" s="43">
        <f>F45+F47+F53+F64+F69+F71</f>
        <v>3684101</v>
      </c>
      <c r="G44" s="43">
        <f>G45+G47+G53+G64+G69+G71</f>
        <v>0</v>
      </c>
      <c r="H44" s="894">
        <f>E44-F44-G44</f>
        <v>0</v>
      </c>
    </row>
    <row r="45" spans="1:8" s="557" customFormat="1" ht="14.25">
      <c r="A45" s="633"/>
      <c r="B45" s="270">
        <v>75601</v>
      </c>
      <c r="C45" s="270"/>
      <c r="D45" s="271" t="s">
        <v>219</v>
      </c>
      <c r="E45" s="272">
        <f>E46</f>
        <v>5000</v>
      </c>
      <c r="F45" s="272">
        <f>F46</f>
        <v>5000</v>
      </c>
      <c r="G45" s="630">
        <f>G46</f>
        <v>0</v>
      </c>
      <c r="H45" s="273">
        <f aca="true" t="shared" si="6" ref="H45:H114">E45-F45-G45</f>
        <v>0</v>
      </c>
    </row>
    <row r="46" spans="1:8" s="893" customFormat="1" ht="24" customHeight="1">
      <c r="A46" s="635"/>
      <c r="B46" s="52"/>
      <c r="C46" s="52" t="s">
        <v>220</v>
      </c>
      <c r="D46" s="53" t="s">
        <v>221</v>
      </c>
      <c r="E46" s="54">
        <v>5000</v>
      </c>
      <c r="F46" s="54">
        <v>5000</v>
      </c>
      <c r="G46" s="636">
        <v>0</v>
      </c>
      <c r="H46" s="894">
        <f t="shared" si="6"/>
        <v>0</v>
      </c>
    </row>
    <row r="47" spans="1:8" s="410" customFormat="1" ht="42.75">
      <c r="A47" s="640"/>
      <c r="B47" s="45">
        <v>75615</v>
      </c>
      <c r="C47" s="45"/>
      <c r="D47" s="46" t="s">
        <v>222</v>
      </c>
      <c r="E47" s="47">
        <f>E48+E49+E50+E51+E52</f>
        <v>1380011</v>
      </c>
      <c r="F47" s="47">
        <f>F48+F49+F50+F51+F52</f>
        <v>1380011</v>
      </c>
      <c r="G47" s="641">
        <f>G48+G49+G50+G51+G52</f>
        <v>0</v>
      </c>
      <c r="H47" s="273">
        <f t="shared" si="6"/>
        <v>0</v>
      </c>
    </row>
    <row r="48" spans="1:8" s="893" customFormat="1" ht="12.75">
      <c r="A48" s="635"/>
      <c r="B48" s="52"/>
      <c r="C48" s="52" t="s">
        <v>223</v>
      </c>
      <c r="D48" s="53" t="s">
        <v>224</v>
      </c>
      <c r="E48" s="54">
        <v>880000</v>
      </c>
      <c r="F48" s="54">
        <v>880000</v>
      </c>
      <c r="G48" s="636">
        <v>0</v>
      </c>
      <c r="H48" s="894">
        <f t="shared" si="6"/>
        <v>0</v>
      </c>
    </row>
    <row r="49" spans="1:8" s="893" customFormat="1" ht="12.75">
      <c r="A49" s="635"/>
      <c r="B49" s="52"/>
      <c r="C49" s="52" t="s">
        <v>225</v>
      </c>
      <c r="D49" s="53" t="s">
        <v>226</v>
      </c>
      <c r="E49" s="54">
        <v>380000</v>
      </c>
      <c r="F49" s="54">
        <v>380000</v>
      </c>
      <c r="G49" s="636">
        <v>0</v>
      </c>
      <c r="H49" s="894">
        <f t="shared" si="6"/>
        <v>0</v>
      </c>
    </row>
    <row r="50" spans="1:8" s="893" customFormat="1" ht="12.75">
      <c r="A50" s="635"/>
      <c r="B50" s="52"/>
      <c r="C50" s="52" t="s">
        <v>227</v>
      </c>
      <c r="D50" s="53" t="s">
        <v>228</v>
      </c>
      <c r="E50" s="54">
        <v>76146</v>
      </c>
      <c r="F50" s="54">
        <v>76146</v>
      </c>
      <c r="G50" s="636">
        <v>0</v>
      </c>
      <c r="H50" s="894">
        <f t="shared" si="6"/>
        <v>0</v>
      </c>
    </row>
    <row r="51" spans="1:8" s="893" customFormat="1" ht="12.75">
      <c r="A51" s="635"/>
      <c r="B51" s="52"/>
      <c r="C51" s="52" t="s">
        <v>229</v>
      </c>
      <c r="D51" s="53" t="s">
        <v>230</v>
      </c>
      <c r="E51" s="54">
        <v>33865</v>
      </c>
      <c r="F51" s="54">
        <v>33865</v>
      </c>
      <c r="G51" s="636">
        <v>0</v>
      </c>
      <c r="H51" s="894">
        <f t="shared" si="6"/>
        <v>0</v>
      </c>
    </row>
    <row r="52" spans="1:8" s="893" customFormat="1" ht="12.75">
      <c r="A52" s="635"/>
      <c r="B52" s="52"/>
      <c r="C52" s="52" t="s">
        <v>231</v>
      </c>
      <c r="D52" s="53" t="s">
        <v>509</v>
      </c>
      <c r="E52" s="54">
        <v>10000</v>
      </c>
      <c r="F52" s="54">
        <v>10000</v>
      </c>
      <c r="G52" s="636">
        <v>0</v>
      </c>
      <c r="H52" s="894">
        <f t="shared" si="6"/>
        <v>0</v>
      </c>
    </row>
    <row r="53" spans="1:8" s="410" customFormat="1" ht="42.75">
      <c r="A53" s="640"/>
      <c r="B53" s="45">
        <v>75616</v>
      </c>
      <c r="C53" s="45"/>
      <c r="D53" s="46" t="s">
        <v>232</v>
      </c>
      <c r="E53" s="47">
        <f>E54+E55+E56+E57+E58+E59+E60+E61+E62+E63</f>
        <v>1190900</v>
      </c>
      <c r="F53" s="47">
        <f>F54+F55+F56+F57+F58+F59+F60+F61+F62+F63</f>
        <v>1190900</v>
      </c>
      <c r="G53" s="641">
        <f>G54+G55+G56+G57+G58+G59+G60+G61+G62+G63</f>
        <v>0</v>
      </c>
      <c r="H53" s="273">
        <f t="shared" si="6"/>
        <v>0</v>
      </c>
    </row>
    <row r="54" spans="1:8" s="893" customFormat="1" ht="12.75">
      <c r="A54" s="635"/>
      <c r="B54" s="52"/>
      <c r="C54" s="52" t="s">
        <v>223</v>
      </c>
      <c r="D54" s="53" t="s">
        <v>224</v>
      </c>
      <c r="E54" s="54">
        <v>540000</v>
      </c>
      <c r="F54" s="54">
        <v>540000</v>
      </c>
      <c r="G54" s="636">
        <v>0</v>
      </c>
      <c r="H54" s="894">
        <f t="shared" si="6"/>
        <v>0</v>
      </c>
    </row>
    <row r="55" spans="1:8" s="893" customFormat="1" ht="12.75">
      <c r="A55" s="635"/>
      <c r="B55" s="52"/>
      <c r="C55" s="52" t="s">
        <v>225</v>
      </c>
      <c r="D55" s="53" t="s">
        <v>226</v>
      </c>
      <c r="E55" s="54">
        <v>443000</v>
      </c>
      <c r="F55" s="54">
        <v>443000</v>
      </c>
      <c r="G55" s="636">
        <v>0</v>
      </c>
      <c r="H55" s="894">
        <f t="shared" si="6"/>
        <v>0</v>
      </c>
    </row>
    <row r="56" spans="1:8" s="893" customFormat="1" ht="12.75">
      <c r="A56" s="635"/>
      <c r="B56" s="52"/>
      <c r="C56" s="52" t="s">
        <v>227</v>
      </c>
      <c r="D56" s="53" t="s">
        <v>228</v>
      </c>
      <c r="E56" s="54">
        <v>1100</v>
      </c>
      <c r="F56" s="54">
        <v>1100</v>
      </c>
      <c r="G56" s="636">
        <v>0</v>
      </c>
      <c r="H56" s="894">
        <f t="shared" si="6"/>
        <v>0</v>
      </c>
    </row>
    <row r="57" spans="1:8" s="893" customFormat="1" ht="12.75">
      <c r="A57" s="635"/>
      <c r="B57" s="52"/>
      <c r="C57" s="52" t="s">
        <v>229</v>
      </c>
      <c r="D57" s="53" t="s">
        <v>230</v>
      </c>
      <c r="E57" s="54">
        <v>30800</v>
      </c>
      <c r="F57" s="54">
        <v>30800</v>
      </c>
      <c r="G57" s="636">
        <v>0</v>
      </c>
      <c r="H57" s="894">
        <f t="shared" si="6"/>
        <v>0</v>
      </c>
    </row>
    <row r="58" spans="1:8" s="893" customFormat="1" ht="12.75">
      <c r="A58" s="635"/>
      <c r="B58" s="52"/>
      <c r="C58" s="52" t="s">
        <v>233</v>
      </c>
      <c r="D58" s="53" t="s">
        <v>234</v>
      </c>
      <c r="E58" s="54">
        <v>5000</v>
      </c>
      <c r="F58" s="54">
        <v>5000</v>
      </c>
      <c r="G58" s="636">
        <v>0</v>
      </c>
      <c r="H58" s="894">
        <f t="shared" si="6"/>
        <v>0</v>
      </c>
    </row>
    <row r="59" spans="1:8" s="893" customFormat="1" ht="12.75">
      <c r="A59" s="635"/>
      <c r="B59" s="52"/>
      <c r="C59" s="52" t="s">
        <v>235</v>
      </c>
      <c r="D59" s="53" t="s">
        <v>319</v>
      </c>
      <c r="E59" s="54">
        <v>6000</v>
      </c>
      <c r="F59" s="54">
        <v>6000</v>
      </c>
      <c r="G59" s="636">
        <v>0</v>
      </c>
      <c r="H59" s="894">
        <f t="shared" si="6"/>
        <v>0</v>
      </c>
    </row>
    <row r="60" spans="1:8" s="893" customFormat="1" ht="12.75">
      <c r="A60" s="635"/>
      <c r="B60" s="52"/>
      <c r="C60" s="52" t="s">
        <v>236</v>
      </c>
      <c r="D60" s="53" t="s">
        <v>237</v>
      </c>
      <c r="E60" s="54">
        <v>2000</v>
      </c>
      <c r="F60" s="54">
        <v>2000</v>
      </c>
      <c r="G60" s="636">
        <v>0</v>
      </c>
      <c r="H60" s="894">
        <f t="shared" si="6"/>
        <v>0</v>
      </c>
    </row>
    <row r="61" spans="1:8" s="893" customFormat="1" ht="12.75">
      <c r="A61" s="635"/>
      <c r="B61" s="52"/>
      <c r="C61" s="52" t="s">
        <v>238</v>
      </c>
      <c r="D61" s="53" t="s">
        <v>239</v>
      </c>
      <c r="E61" s="54">
        <v>3000</v>
      </c>
      <c r="F61" s="54">
        <v>3000</v>
      </c>
      <c r="G61" s="636">
        <v>0</v>
      </c>
      <c r="H61" s="894">
        <f t="shared" si="6"/>
        <v>0</v>
      </c>
    </row>
    <row r="62" spans="1:8" s="893" customFormat="1" ht="12.75">
      <c r="A62" s="635"/>
      <c r="B62" s="52"/>
      <c r="C62" s="52" t="s">
        <v>240</v>
      </c>
      <c r="D62" s="53" t="s">
        <v>241</v>
      </c>
      <c r="E62" s="54">
        <v>50000</v>
      </c>
      <c r="F62" s="54">
        <v>50000</v>
      </c>
      <c r="G62" s="636">
        <v>0</v>
      </c>
      <c r="H62" s="894">
        <f t="shared" si="6"/>
        <v>0</v>
      </c>
    </row>
    <row r="63" spans="1:8" s="893" customFormat="1" ht="12.75">
      <c r="A63" s="635"/>
      <c r="B63" s="52"/>
      <c r="C63" s="52" t="s">
        <v>231</v>
      </c>
      <c r="D63" s="53" t="s">
        <v>510</v>
      </c>
      <c r="E63" s="54">
        <v>110000</v>
      </c>
      <c r="F63" s="54">
        <v>110000</v>
      </c>
      <c r="G63" s="636">
        <v>0</v>
      </c>
      <c r="H63" s="894">
        <f t="shared" si="6"/>
        <v>0</v>
      </c>
    </row>
    <row r="64" spans="1:8" s="410" customFormat="1" ht="28.5">
      <c r="A64" s="640"/>
      <c r="B64" s="45">
        <v>75618</v>
      </c>
      <c r="C64" s="45"/>
      <c r="D64" s="46" t="s">
        <v>242</v>
      </c>
      <c r="E64" s="47">
        <f>SUM(E65:E68)</f>
        <v>115414</v>
      </c>
      <c r="F64" s="47">
        <f>SUM(F65:F68)</f>
        <v>115414</v>
      </c>
      <c r="G64" s="641">
        <f>G65+G67+G68</f>
        <v>0</v>
      </c>
      <c r="H64" s="273">
        <f t="shared" si="6"/>
        <v>0</v>
      </c>
    </row>
    <row r="65" spans="1:8" s="893" customFormat="1" ht="12.75">
      <c r="A65" s="635"/>
      <c r="B65" s="52"/>
      <c r="C65" s="52" t="s">
        <v>243</v>
      </c>
      <c r="D65" s="53" t="s">
        <v>244</v>
      </c>
      <c r="E65" s="54">
        <v>15000</v>
      </c>
      <c r="F65" s="54">
        <v>15000</v>
      </c>
      <c r="G65" s="636">
        <v>0</v>
      </c>
      <c r="H65" s="894">
        <f t="shared" si="6"/>
        <v>0</v>
      </c>
    </row>
    <row r="66" spans="1:8" s="893" customFormat="1" ht="12.75">
      <c r="A66" s="635"/>
      <c r="B66" s="52"/>
      <c r="C66" s="52" t="s">
        <v>250</v>
      </c>
      <c r="D66" s="53" t="s">
        <v>251</v>
      </c>
      <c r="E66" s="54">
        <v>40000</v>
      </c>
      <c r="F66" s="54">
        <v>40000</v>
      </c>
      <c r="G66" s="636"/>
      <c r="H66" s="894"/>
    </row>
    <row r="67" spans="1:8" s="893" customFormat="1" ht="12.75">
      <c r="A67" s="635"/>
      <c r="B67" s="52"/>
      <c r="C67" s="52" t="s">
        <v>245</v>
      </c>
      <c r="D67" s="53" t="s">
        <v>246</v>
      </c>
      <c r="E67" s="54">
        <v>60000</v>
      </c>
      <c r="F67" s="54">
        <v>60000</v>
      </c>
      <c r="G67" s="636">
        <v>0</v>
      </c>
      <c r="H67" s="894">
        <f t="shared" si="6"/>
        <v>0</v>
      </c>
    </row>
    <row r="68" spans="1:8" s="893" customFormat="1" ht="25.5">
      <c r="A68" s="635"/>
      <c r="B68" s="52"/>
      <c r="C68" s="52" t="s">
        <v>247</v>
      </c>
      <c r="D68" s="53" t="s">
        <v>248</v>
      </c>
      <c r="E68" s="54">
        <v>414</v>
      </c>
      <c r="F68" s="54">
        <v>414</v>
      </c>
      <c r="G68" s="636">
        <v>0</v>
      </c>
      <c r="H68" s="894">
        <f t="shared" si="6"/>
        <v>0</v>
      </c>
    </row>
    <row r="69" spans="1:8" s="410" customFormat="1" ht="14.25">
      <c r="A69" s="640"/>
      <c r="B69" s="45">
        <v>75621</v>
      </c>
      <c r="C69" s="45"/>
      <c r="D69" s="46" t="s">
        <v>252</v>
      </c>
      <c r="E69" s="47">
        <f>E70</f>
        <v>992751</v>
      </c>
      <c r="F69" s="47">
        <f>F70</f>
        <v>992751</v>
      </c>
      <c r="G69" s="641">
        <f>G70</f>
        <v>0</v>
      </c>
      <c r="H69" s="273">
        <f t="shared" si="6"/>
        <v>0</v>
      </c>
    </row>
    <row r="70" spans="1:8" s="893" customFormat="1" ht="12.75">
      <c r="A70" s="635"/>
      <c r="B70" s="52"/>
      <c r="C70" s="52" t="s">
        <v>253</v>
      </c>
      <c r="D70" s="53" t="s">
        <v>254</v>
      </c>
      <c r="E70" s="54">
        <v>992751</v>
      </c>
      <c r="F70" s="54">
        <v>992751</v>
      </c>
      <c r="G70" s="636">
        <v>0</v>
      </c>
      <c r="H70" s="894">
        <f t="shared" si="6"/>
        <v>0</v>
      </c>
    </row>
    <row r="71" spans="1:8" s="410" customFormat="1" ht="14.25">
      <c r="A71" s="640"/>
      <c r="B71" s="45">
        <v>75624</v>
      </c>
      <c r="C71" s="45"/>
      <c r="D71" s="46" t="s">
        <v>255</v>
      </c>
      <c r="E71" s="47">
        <f>E72</f>
        <v>25</v>
      </c>
      <c r="F71" s="47">
        <f>F72</f>
        <v>25</v>
      </c>
      <c r="G71" s="641">
        <f>G72</f>
        <v>0</v>
      </c>
      <c r="H71" s="273">
        <f t="shared" si="6"/>
        <v>0</v>
      </c>
    </row>
    <row r="72" spans="1:8" s="893" customFormat="1" ht="13.5" thickBot="1">
      <c r="A72" s="634"/>
      <c r="B72" s="49"/>
      <c r="C72" s="49" t="s">
        <v>256</v>
      </c>
      <c r="D72" s="50" t="s">
        <v>95</v>
      </c>
      <c r="E72" s="51">
        <v>25</v>
      </c>
      <c r="F72" s="51">
        <v>25</v>
      </c>
      <c r="G72" s="631">
        <v>0</v>
      </c>
      <c r="H72" s="894">
        <f t="shared" si="6"/>
        <v>0</v>
      </c>
    </row>
    <row r="73" spans="1:8" s="893" customFormat="1" ht="16.5" thickBot="1">
      <c r="A73" s="632">
        <v>758</v>
      </c>
      <c r="B73" s="41"/>
      <c r="C73" s="41"/>
      <c r="D73" s="42" t="s">
        <v>258</v>
      </c>
      <c r="E73" s="43">
        <f>E74+E76+E78</f>
        <v>3990386</v>
      </c>
      <c r="F73" s="43">
        <f>F74+F76+F78</f>
        <v>3990386</v>
      </c>
      <c r="G73" s="629">
        <f>G74+G76+G78</f>
        <v>0</v>
      </c>
      <c r="H73" s="894">
        <f t="shared" si="6"/>
        <v>0</v>
      </c>
    </row>
    <row r="74" spans="1:8" s="410" customFormat="1" ht="18" customHeight="1">
      <c r="A74" s="633"/>
      <c r="B74" s="270">
        <v>75801</v>
      </c>
      <c r="C74" s="270"/>
      <c r="D74" s="271" t="s">
        <v>259</v>
      </c>
      <c r="E74" s="272">
        <f aca="true" t="shared" si="7" ref="E74:E79">F74+G74</f>
        <v>2679834</v>
      </c>
      <c r="F74" s="272">
        <f>F75</f>
        <v>2679834</v>
      </c>
      <c r="G74" s="630">
        <f>G75</f>
        <v>0</v>
      </c>
      <c r="H74" s="273">
        <f t="shared" si="6"/>
        <v>0</v>
      </c>
    </row>
    <row r="75" spans="1:8" s="893" customFormat="1" ht="12.75">
      <c r="A75" s="635"/>
      <c r="B75" s="52"/>
      <c r="C75" s="52">
        <v>2920</v>
      </c>
      <c r="D75" s="53" t="s">
        <v>260</v>
      </c>
      <c r="E75" s="54">
        <f t="shared" si="7"/>
        <v>2679834</v>
      </c>
      <c r="F75" s="54">
        <v>2679834</v>
      </c>
      <c r="G75" s="636">
        <v>0</v>
      </c>
      <c r="H75" s="894">
        <f t="shared" si="6"/>
        <v>0</v>
      </c>
    </row>
    <row r="76" spans="1:8" s="410" customFormat="1" ht="14.25">
      <c r="A76" s="640"/>
      <c r="B76" s="45">
        <v>75807</v>
      </c>
      <c r="C76" s="45"/>
      <c r="D76" s="46" t="s">
        <v>261</v>
      </c>
      <c r="E76" s="47">
        <f t="shared" si="7"/>
        <v>1214988</v>
      </c>
      <c r="F76" s="47">
        <f>F77</f>
        <v>1214988</v>
      </c>
      <c r="G76" s="641">
        <f>G77</f>
        <v>0</v>
      </c>
      <c r="H76" s="273">
        <f t="shared" si="6"/>
        <v>0</v>
      </c>
    </row>
    <row r="77" spans="1:8" s="893" customFormat="1" ht="12.75">
      <c r="A77" s="635"/>
      <c r="B77" s="52"/>
      <c r="C77" s="52">
        <v>2920</v>
      </c>
      <c r="D77" s="53" t="s">
        <v>260</v>
      </c>
      <c r="E77" s="54">
        <f t="shared" si="7"/>
        <v>1214988</v>
      </c>
      <c r="F77" s="54">
        <v>1214988</v>
      </c>
      <c r="G77" s="636">
        <v>0</v>
      </c>
      <c r="H77" s="894">
        <f t="shared" si="6"/>
        <v>0</v>
      </c>
    </row>
    <row r="78" spans="1:8" s="410" customFormat="1" ht="14.25">
      <c r="A78" s="640"/>
      <c r="B78" s="45">
        <v>75831</v>
      </c>
      <c r="C78" s="45"/>
      <c r="D78" s="46" t="s">
        <v>262</v>
      </c>
      <c r="E78" s="47">
        <f t="shared" si="7"/>
        <v>95564</v>
      </c>
      <c r="F78" s="47">
        <f>F79</f>
        <v>95564</v>
      </c>
      <c r="G78" s="641">
        <f>G79</f>
        <v>0</v>
      </c>
      <c r="H78" s="273">
        <f t="shared" si="6"/>
        <v>0</v>
      </c>
    </row>
    <row r="79" spans="1:8" s="893" customFormat="1" ht="13.5" thickBot="1">
      <c r="A79" s="634"/>
      <c r="B79" s="49"/>
      <c r="C79" s="49">
        <v>2920</v>
      </c>
      <c r="D79" s="50" t="s">
        <v>260</v>
      </c>
      <c r="E79" s="51">
        <f t="shared" si="7"/>
        <v>95564</v>
      </c>
      <c r="F79" s="51">
        <v>95564</v>
      </c>
      <c r="G79" s="631">
        <v>0</v>
      </c>
      <c r="H79" s="894">
        <f t="shared" si="6"/>
        <v>0</v>
      </c>
    </row>
    <row r="80" spans="1:8" s="893" customFormat="1" ht="16.5" thickBot="1">
      <c r="A80" s="632">
        <v>801</v>
      </c>
      <c r="B80" s="41"/>
      <c r="C80" s="41"/>
      <c r="D80" s="42" t="s">
        <v>263</v>
      </c>
      <c r="E80" s="43">
        <f>E81+E86+E88+E90</f>
        <v>92900</v>
      </c>
      <c r="F80" s="43">
        <f>F81+F86+F88+F90</f>
        <v>92900</v>
      </c>
      <c r="G80" s="629">
        <f>G81+G86+G88+G90</f>
        <v>0</v>
      </c>
      <c r="H80" s="894">
        <f t="shared" si="6"/>
        <v>0</v>
      </c>
    </row>
    <row r="81" spans="1:8" s="410" customFormat="1" ht="14.25">
      <c r="A81" s="633"/>
      <c r="B81" s="270">
        <v>80101</v>
      </c>
      <c r="C81" s="270"/>
      <c r="D81" s="271" t="s">
        <v>264</v>
      </c>
      <c r="E81" s="272">
        <f>E82+E83+E84+E85</f>
        <v>21300</v>
      </c>
      <c r="F81" s="272">
        <f>F82+F83+F84</f>
        <v>21300</v>
      </c>
      <c r="G81" s="630">
        <f>G82+G83+G84+G85</f>
        <v>0</v>
      </c>
      <c r="H81" s="273">
        <f t="shared" si="6"/>
        <v>0</v>
      </c>
    </row>
    <row r="82" spans="1:8" s="893" customFormat="1" ht="38.25">
      <c r="A82" s="635"/>
      <c r="B82" s="52"/>
      <c r="C82" s="52" t="s">
        <v>179</v>
      </c>
      <c r="D82" s="53" t="s">
        <v>840</v>
      </c>
      <c r="E82" s="54">
        <v>10500</v>
      </c>
      <c r="F82" s="54">
        <v>10500</v>
      </c>
      <c r="G82" s="636">
        <v>0</v>
      </c>
      <c r="H82" s="894">
        <f t="shared" si="6"/>
        <v>0</v>
      </c>
    </row>
    <row r="83" spans="1:8" s="893" customFormat="1" ht="12.75">
      <c r="A83" s="635"/>
      <c r="B83" s="52"/>
      <c r="C83" s="52" t="s">
        <v>205</v>
      </c>
      <c r="D83" s="53" t="s">
        <v>215</v>
      </c>
      <c r="E83" s="54">
        <v>10000</v>
      </c>
      <c r="F83" s="54">
        <v>10000</v>
      </c>
      <c r="G83" s="636">
        <v>0</v>
      </c>
      <c r="H83" s="894">
        <f t="shared" si="6"/>
        <v>0</v>
      </c>
    </row>
    <row r="84" spans="1:8" s="893" customFormat="1" ht="12.75">
      <c r="A84" s="635"/>
      <c r="B84" s="52"/>
      <c r="C84" s="724" t="s">
        <v>348</v>
      </c>
      <c r="D84" s="53" t="s">
        <v>313</v>
      </c>
      <c r="E84" s="54">
        <v>800</v>
      </c>
      <c r="F84" s="54">
        <v>800</v>
      </c>
      <c r="G84" s="636">
        <v>0</v>
      </c>
      <c r="H84" s="894">
        <f t="shared" si="6"/>
        <v>0</v>
      </c>
    </row>
    <row r="85" spans="1:8" s="748" customFormat="1" ht="25.5" hidden="1">
      <c r="A85" s="927"/>
      <c r="B85" s="778"/>
      <c r="C85" s="778">
        <v>6298</v>
      </c>
      <c r="D85" s="779" t="s">
        <v>312</v>
      </c>
      <c r="E85" s="716">
        <v>0</v>
      </c>
      <c r="F85" s="716">
        <v>0</v>
      </c>
      <c r="G85" s="721">
        <v>0</v>
      </c>
      <c r="H85" s="920">
        <f t="shared" si="6"/>
        <v>0</v>
      </c>
    </row>
    <row r="86" spans="1:8" s="410" customFormat="1" ht="14.25">
      <c r="A86" s="640"/>
      <c r="B86" s="45">
        <v>80104</v>
      </c>
      <c r="C86" s="45"/>
      <c r="D86" s="46" t="s">
        <v>266</v>
      </c>
      <c r="E86" s="47">
        <f>E87</f>
        <v>27600</v>
      </c>
      <c r="F86" s="47">
        <f>F87</f>
        <v>27600</v>
      </c>
      <c r="G86" s="641">
        <f>G87</f>
        <v>0</v>
      </c>
      <c r="H86" s="273">
        <f t="shared" si="6"/>
        <v>0</v>
      </c>
    </row>
    <row r="87" spans="1:8" s="893" customFormat="1" ht="12.75">
      <c r="A87" s="635"/>
      <c r="B87" s="52"/>
      <c r="C87" s="52" t="s">
        <v>205</v>
      </c>
      <c r="D87" s="53" t="s">
        <v>215</v>
      </c>
      <c r="E87" s="54">
        <v>27600</v>
      </c>
      <c r="F87" s="54">
        <v>27600</v>
      </c>
      <c r="G87" s="636"/>
      <c r="H87" s="894">
        <f t="shared" si="6"/>
        <v>0</v>
      </c>
    </row>
    <row r="88" spans="1:8" s="410" customFormat="1" ht="14.25">
      <c r="A88" s="640"/>
      <c r="B88" s="45">
        <v>80148</v>
      </c>
      <c r="C88" s="45"/>
      <c r="D88" s="46" t="s">
        <v>738</v>
      </c>
      <c r="E88" s="47">
        <f>E89</f>
        <v>32000</v>
      </c>
      <c r="F88" s="47">
        <f>F89</f>
        <v>32000</v>
      </c>
      <c r="G88" s="641">
        <f>G89</f>
        <v>0</v>
      </c>
      <c r="H88" s="273">
        <f t="shared" si="6"/>
        <v>0</v>
      </c>
    </row>
    <row r="89" spans="1:8" s="893" customFormat="1" ht="12.75">
      <c r="A89" s="634"/>
      <c r="B89" s="49"/>
      <c r="C89" s="49" t="s">
        <v>205</v>
      </c>
      <c r="D89" s="50" t="s">
        <v>206</v>
      </c>
      <c r="E89" s="51">
        <v>32000</v>
      </c>
      <c r="F89" s="51">
        <v>32000</v>
      </c>
      <c r="G89" s="631"/>
      <c r="H89" s="894">
        <f t="shared" si="6"/>
        <v>0</v>
      </c>
    </row>
    <row r="90" spans="1:8" s="410" customFormat="1" ht="14.25">
      <c r="A90" s="640"/>
      <c r="B90" s="45">
        <v>80195</v>
      </c>
      <c r="C90" s="45"/>
      <c r="D90" s="46" t="s">
        <v>178</v>
      </c>
      <c r="E90" s="47">
        <f>E91</f>
        <v>12000</v>
      </c>
      <c r="F90" s="47">
        <f>F91</f>
        <v>12000</v>
      </c>
      <c r="G90" s="641">
        <f>G91</f>
        <v>0</v>
      </c>
      <c r="H90" s="273">
        <f>E90-F90-G90</f>
        <v>0</v>
      </c>
    </row>
    <row r="91" spans="1:8" s="893" customFormat="1" ht="26.25" thickBot="1">
      <c r="A91" s="634"/>
      <c r="B91" s="49"/>
      <c r="C91" s="49">
        <v>2030</v>
      </c>
      <c r="D91" s="58" t="s">
        <v>304</v>
      </c>
      <c r="E91" s="51">
        <v>12000</v>
      </c>
      <c r="F91" s="51">
        <v>12000</v>
      </c>
      <c r="G91" s="631"/>
      <c r="H91" s="894">
        <f>E91-F91-G91</f>
        <v>0</v>
      </c>
    </row>
    <row r="92" spans="1:8" s="893" customFormat="1" ht="16.5" hidden="1" thickBot="1">
      <c r="A92" s="632">
        <v>851</v>
      </c>
      <c r="B92" s="41"/>
      <c r="C92" s="41"/>
      <c r="D92" s="42" t="s">
        <v>298</v>
      </c>
      <c r="E92" s="43">
        <f aca="true" t="shared" si="8" ref="E92:G93">E93</f>
        <v>0</v>
      </c>
      <c r="F92" s="43">
        <f t="shared" si="8"/>
        <v>0</v>
      </c>
      <c r="G92" s="629">
        <f t="shared" si="8"/>
        <v>0</v>
      </c>
      <c r="H92" s="894">
        <f t="shared" si="6"/>
        <v>0</v>
      </c>
    </row>
    <row r="93" spans="1:8" s="893" customFormat="1" ht="13.5" hidden="1" thickBot="1">
      <c r="A93" s="902"/>
      <c r="B93" s="903">
        <v>85195</v>
      </c>
      <c r="C93" s="903"/>
      <c r="D93" s="904" t="s">
        <v>178</v>
      </c>
      <c r="E93" s="905">
        <f t="shared" si="8"/>
        <v>0</v>
      </c>
      <c r="F93" s="905">
        <f t="shared" si="8"/>
        <v>0</v>
      </c>
      <c r="G93" s="906">
        <f t="shared" si="8"/>
        <v>0</v>
      </c>
      <c r="H93" s="894">
        <f t="shared" si="6"/>
        <v>0</v>
      </c>
    </row>
    <row r="94" spans="1:8" s="893" customFormat="1" ht="26.25" hidden="1" thickBot="1">
      <c r="A94" s="634"/>
      <c r="B94" s="49"/>
      <c r="C94" s="49" t="s">
        <v>209</v>
      </c>
      <c r="D94" s="50" t="s">
        <v>210</v>
      </c>
      <c r="E94" s="51">
        <v>0</v>
      </c>
      <c r="F94" s="51">
        <v>0</v>
      </c>
      <c r="G94" s="631">
        <v>0</v>
      </c>
      <c r="H94" s="894">
        <f t="shared" si="6"/>
        <v>0</v>
      </c>
    </row>
    <row r="95" spans="1:8" s="893" customFormat="1" ht="16.5" thickBot="1">
      <c r="A95" s="632">
        <v>852</v>
      </c>
      <c r="B95" s="41"/>
      <c r="C95" s="41"/>
      <c r="D95" s="42" t="s">
        <v>299</v>
      </c>
      <c r="E95" s="43">
        <f>E96+E98+E100+E103+E106</f>
        <v>1879000</v>
      </c>
      <c r="F95" s="43">
        <f>F96+F98+F100+F103+F106</f>
        <v>1879000</v>
      </c>
      <c r="G95" s="629">
        <f>G96+G98+G100+G103+G106</f>
        <v>0</v>
      </c>
      <c r="H95" s="894">
        <f t="shared" si="6"/>
        <v>0</v>
      </c>
    </row>
    <row r="96" spans="1:8" s="410" customFormat="1" ht="28.5">
      <c r="A96" s="633"/>
      <c r="B96" s="270">
        <v>85212</v>
      </c>
      <c r="C96" s="270"/>
      <c r="D96" s="271" t="s">
        <v>300</v>
      </c>
      <c r="E96" s="272">
        <f>F96+G96</f>
        <v>1492000</v>
      </c>
      <c r="F96" s="272">
        <f>F97</f>
        <v>1492000</v>
      </c>
      <c r="G96" s="630">
        <f>G97</f>
        <v>0</v>
      </c>
      <c r="H96" s="273">
        <f t="shared" si="6"/>
        <v>0</v>
      </c>
    </row>
    <row r="97" spans="1:8" s="893" customFormat="1" ht="25.5">
      <c r="A97" s="635"/>
      <c r="B97" s="52"/>
      <c r="C97" s="52" t="s">
        <v>209</v>
      </c>
      <c r="D97" s="53" t="s">
        <v>210</v>
      </c>
      <c r="E97" s="54">
        <f>F97+G97</f>
        <v>1492000</v>
      </c>
      <c r="F97" s="54">
        <v>1492000</v>
      </c>
      <c r="G97" s="636">
        <v>0</v>
      </c>
      <c r="H97" s="894">
        <f t="shared" si="6"/>
        <v>0</v>
      </c>
    </row>
    <row r="98" spans="1:8" s="410" customFormat="1" ht="31.5" customHeight="1">
      <c r="A98" s="640"/>
      <c r="B98" s="45">
        <v>85213</v>
      </c>
      <c r="C98" s="45"/>
      <c r="D98" s="46" t="s">
        <v>301</v>
      </c>
      <c r="E98" s="47">
        <f aca="true" t="shared" si="9" ref="E98:E107">F98+G98</f>
        <v>9000</v>
      </c>
      <c r="F98" s="47">
        <f>F99</f>
        <v>9000</v>
      </c>
      <c r="G98" s="641">
        <f>G99</f>
        <v>0</v>
      </c>
      <c r="H98" s="273">
        <f t="shared" si="6"/>
        <v>0</v>
      </c>
    </row>
    <row r="99" spans="1:8" s="893" customFormat="1" ht="25.5">
      <c r="A99" s="635"/>
      <c r="B99" s="52"/>
      <c r="C99" s="52" t="s">
        <v>209</v>
      </c>
      <c r="D99" s="53" t="s">
        <v>210</v>
      </c>
      <c r="E99" s="54">
        <f t="shared" si="9"/>
        <v>9000</v>
      </c>
      <c r="F99" s="54">
        <v>9000</v>
      </c>
      <c r="G99" s="636">
        <v>0</v>
      </c>
      <c r="H99" s="894">
        <f t="shared" si="6"/>
        <v>0</v>
      </c>
    </row>
    <row r="100" spans="1:8" s="410" customFormat="1" ht="14.25">
      <c r="A100" s="640"/>
      <c r="B100" s="45">
        <v>85214</v>
      </c>
      <c r="C100" s="45"/>
      <c r="D100" s="46" t="s">
        <v>302</v>
      </c>
      <c r="E100" s="47">
        <f t="shared" si="9"/>
        <v>206000</v>
      </c>
      <c r="F100" s="47">
        <f>F101+F102</f>
        <v>206000</v>
      </c>
      <c r="G100" s="641">
        <f>G101+G102</f>
        <v>0</v>
      </c>
      <c r="H100" s="273">
        <f t="shared" si="6"/>
        <v>0</v>
      </c>
    </row>
    <row r="101" spans="1:8" s="893" customFormat="1" ht="25.5">
      <c r="A101" s="635"/>
      <c r="B101" s="52"/>
      <c r="C101" s="52" t="s">
        <v>209</v>
      </c>
      <c r="D101" s="53" t="s">
        <v>210</v>
      </c>
      <c r="E101" s="54">
        <f t="shared" si="9"/>
        <v>85000</v>
      </c>
      <c r="F101" s="54">
        <v>85000</v>
      </c>
      <c r="G101" s="636">
        <v>0</v>
      </c>
      <c r="H101" s="894">
        <f t="shared" si="6"/>
        <v>0</v>
      </c>
    </row>
    <row r="102" spans="1:8" s="893" customFormat="1" ht="25.5">
      <c r="A102" s="634"/>
      <c r="B102" s="49"/>
      <c r="C102" s="49" t="s">
        <v>303</v>
      </c>
      <c r="D102" s="50" t="s">
        <v>304</v>
      </c>
      <c r="E102" s="51">
        <f t="shared" si="9"/>
        <v>121000</v>
      </c>
      <c r="F102" s="51">
        <v>121000</v>
      </c>
      <c r="G102" s="631">
        <v>0</v>
      </c>
      <c r="H102" s="894">
        <f t="shared" si="6"/>
        <v>0</v>
      </c>
    </row>
    <row r="103" spans="1:8" s="410" customFormat="1" ht="14.25">
      <c r="A103" s="640"/>
      <c r="B103" s="45">
        <v>85219</v>
      </c>
      <c r="C103" s="45"/>
      <c r="D103" s="46" t="s">
        <v>305</v>
      </c>
      <c r="E103" s="47">
        <f t="shared" si="9"/>
        <v>110000</v>
      </c>
      <c r="F103" s="47">
        <f>F104+F105</f>
        <v>110000</v>
      </c>
      <c r="G103" s="641">
        <f>G104+G105</f>
        <v>0</v>
      </c>
      <c r="H103" s="273">
        <f t="shared" si="6"/>
        <v>0</v>
      </c>
    </row>
    <row r="104" spans="1:8" s="893" customFormat="1" ht="12.75">
      <c r="A104" s="642"/>
      <c r="B104" s="55"/>
      <c r="C104" s="55" t="s">
        <v>205</v>
      </c>
      <c r="D104" s="56" t="s">
        <v>206</v>
      </c>
      <c r="E104" s="892">
        <f t="shared" si="9"/>
        <v>4000</v>
      </c>
      <c r="F104" s="892">
        <v>4000</v>
      </c>
      <c r="G104" s="643">
        <v>0</v>
      </c>
      <c r="H104" s="894">
        <f t="shared" si="6"/>
        <v>0</v>
      </c>
    </row>
    <row r="105" spans="1:8" s="893" customFormat="1" ht="25.5">
      <c r="A105" s="634"/>
      <c r="B105" s="49"/>
      <c r="C105" s="49" t="s">
        <v>303</v>
      </c>
      <c r="D105" s="50" t="s">
        <v>304</v>
      </c>
      <c r="E105" s="51">
        <f t="shared" si="9"/>
        <v>106000</v>
      </c>
      <c r="F105" s="51">
        <v>106000</v>
      </c>
      <c r="G105" s="631">
        <v>0</v>
      </c>
      <c r="H105" s="894">
        <f t="shared" si="6"/>
        <v>0</v>
      </c>
    </row>
    <row r="106" spans="1:8" s="410" customFormat="1" ht="14.25">
      <c r="A106" s="640"/>
      <c r="B106" s="45">
        <v>85295</v>
      </c>
      <c r="C106" s="45"/>
      <c r="D106" s="46" t="s">
        <v>178</v>
      </c>
      <c r="E106" s="47">
        <f t="shared" si="9"/>
        <v>62000</v>
      </c>
      <c r="F106" s="47">
        <f>F107</f>
        <v>62000</v>
      </c>
      <c r="G106" s="641">
        <f>G107</f>
        <v>0</v>
      </c>
      <c r="H106" s="273">
        <f t="shared" si="6"/>
        <v>0</v>
      </c>
    </row>
    <row r="107" spans="1:8" s="893" customFormat="1" ht="26.25" thickBot="1">
      <c r="A107" s="638"/>
      <c r="B107" s="57"/>
      <c r="C107" s="57" t="s">
        <v>303</v>
      </c>
      <c r="D107" s="58" t="s">
        <v>304</v>
      </c>
      <c r="E107" s="59">
        <f t="shared" si="9"/>
        <v>62000</v>
      </c>
      <c r="F107" s="59">
        <v>62000</v>
      </c>
      <c r="G107" s="639">
        <v>0</v>
      </c>
      <c r="H107" s="894">
        <f t="shared" si="6"/>
        <v>0</v>
      </c>
    </row>
    <row r="108" spans="1:8" s="893" customFormat="1" ht="16.5" thickBot="1">
      <c r="A108" s="632">
        <v>900</v>
      </c>
      <c r="B108" s="41"/>
      <c r="C108" s="41"/>
      <c r="D108" s="42" t="s">
        <v>306</v>
      </c>
      <c r="E108" s="43">
        <f>E113+E109+E111</f>
        <v>94600</v>
      </c>
      <c r="F108" s="43">
        <f>F113+F109+F111</f>
        <v>1000</v>
      </c>
      <c r="G108" s="629">
        <f>G113+G109+G111</f>
        <v>93600</v>
      </c>
      <c r="H108" s="894">
        <f t="shared" si="6"/>
        <v>0</v>
      </c>
    </row>
    <row r="109" spans="1:8" s="1067" customFormat="1" ht="14.25" hidden="1">
      <c r="A109" s="1061"/>
      <c r="B109" s="1062">
        <v>90001</v>
      </c>
      <c r="C109" s="1062"/>
      <c r="D109" s="1063" t="s">
        <v>629</v>
      </c>
      <c r="E109" s="1064">
        <f>E110</f>
        <v>0</v>
      </c>
      <c r="F109" s="1064">
        <f>F110</f>
        <v>0</v>
      </c>
      <c r="G109" s="1065">
        <f>G110</f>
        <v>0</v>
      </c>
      <c r="H109" s="1066">
        <f t="shared" si="6"/>
        <v>0</v>
      </c>
    </row>
    <row r="110" spans="1:8" s="1067" customFormat="1" ht="15" hidden="1">
      <c r="A110" s="1068"/>
      <c r="B110" s="1069"/>
      <c r="C110" s="1070">
        <v>6208</v>
      </c>
      <c r="D110" s="1071" t="s">
        <v>96</v>
      </c>
      <c r="E110" s="1072">
        <v>0</v>
      </c>
      <c r="F110" s="1072">
        <v>0</v>
      </c>
      <c r="G110" s="1073">
        <v>0</v>
      </c>
      <c r="H110" s="1066">
        <f t="shared" si="6"/>
        <v>0</v>
      </c>
    </row>
    <row r="111" spans="1:8" s="410" customFormat="1" ht="14.25">
      <c r="A111" s="640"/>
      <c r="B111" s="270">
        <v>90003</v>
      </c>
      <c r="C111" s="412"/>
      <c r="D111" s="413" t="s">
        <v>357</v>
      </c>
      <c r="E111" s="47">
        <f>E112</f>
        <v>93600</v>
      </c>
      <c r="F111" s="47">
        <f>F112</f>
        <v>0</v>
      </c>
      <c r="G111" s="641">
        <f>G112</f>
        <v>93600</v>
      </c>
      <c r="H111" s="894">
        <f t="shared" si="6"/>
        <v>0</v>
      </c>
    </row>
    <row r="112" spans="1:8" s="410" customFormat="1" ht="25.5">
      <c r="A112" s="644"/>
      <c r="B112" s="411"/>
      <c r="C112" s="52">
        <v>6260</v>
      </c>
      <c r="D112" s="53" t="s">
        <v>527</v>
      </c>
      <c r="E112" s="54">
        <v>93600</v>
      </c>
      <c r="F112" s="54">
        <v>0</v>
      </c>
      <c r="G112" s="636">
        <v>93600</v>
      </c>
      <c r="H112" s="894">
        <f t="shared" si="6"/>
        <v>0</v>
      </c>
    </row>
    <row r="113" spans="1:8" s="410" customFormat="1" ht="15" customHeight="1">
      <c r="A113" s="633"/>
      <c r="B113" s="270">
        <v>90020</v>
      </c>
      <c r="C113" s="270"/>
      <c r="D113" s="271" t="s">
        <v>307</v>
      </c>
      <c r="E113" s="272">
        <f>E114</f>
        <v>1000</v>
      </c>
      <c r="F113" s="272">
        <f>F114</f>
        <v>1000</v>
      </c>
      <c r="G113" s="630">
        <f>G114</f>
        <v>0</v>
      </c>
      <c r="H113" s="273">
        <f t="shared" si="6"/>
        <v>0</v>
      </c>
    </row>
    <row r="114" spans="1:8" s="893" customFormat="1" ht="13.5" thickBot="1">
      <c r="A114" s="634"/>
      <c r="B114" s="49"/>
      <c r="C114" s="49" t="s">
        <v>308</v>
      </c>
      <c r="D114" s="50" t="s">
        <v>309</v>
      </c>
      <c r="E114" s="51">
        <f>F114+G114</f>
        <v>1000</v>
      </c>
      <c r="F114" s="51">
        <v>1000</v>
      </c>
      <c r="G114" s="631">
        <v>0</v>
      </c>
      <c r="H114" s="894">
        <f t="shared" si="6"/>
        <v>0</v>
      </c>
    </row>
    <row r="115" spans="1:8" s="748" customFormat="1" ht="16.5" hidden="1" thickBot="1">
      <c r="A115" s="942">
        <v>921</v>
      </c>
      <c r="B115" s="923"/>
      <c r="C115" s="923"/>
      <c r="D115" s="924" t="s">
        <v>637</v>
      </c>
      <c r="E115" s="717">
        <f>E116</f>
        <v>0</v>
      </c>
      <c r="F115" s="717">
        <f>F116</f>
        <v>0</v>
      </c>
      <c r="G115" s="925">
        <f>G116</f>
        <v>0</v>
      </c>
      <c r="H115" s="920">
        <f>E115-F115-G115</f>
        <v>0</v>
      </c>
    </row>
    <row r="116" spans="1:8" s="276" customFormat="1" ht="14.25" hidden="1">
      <c r="A116" s="943"/>
      <c r="B116" s="915">
        <v>92109</v>
      </c>
      <c r="C116" s="915"/>
      <c r="D116" s="916" t="s">
        <v>639</v>
      </c>
      <c r="E116" s="718">
        <f>E117+E118</f>
        <v>0</v>
      </c>
      <c r="F116" s="718">
        <f>F117+F118</f>
        <v>0</v>
      </c>
      <c r="G116" s="720">
        <f>G117+G118</f>
        <v>0</v>
      </c>
      <c r="H116" s="275">
        <f>E116-F116-G116</f>
        <v>0</v>
      </c>
    </row>
    <row r="117" spans="1:8" s="276" customFormat="1" ht="14.25" hidden="1">
      <c r="A117" s="944"/>
      <c r="B117" s="945"/>
      <c r="C117" s="778">
        <v>6208</v>
      </c>
      <c r="D117" s="779" t="s">
        <v>96</v>
      </c>
      <c r="E117" s="716">
        <v>0</v>
      </c>
      <c r="F117" s="716">
        <v>0</v>
      </c>
      <c r="G117" s="721">
        <v>0</v>
      </c>
      <c r="H117" s="275">
        <f aca="true" t="shared" si="10" ref="H117:H130">E117-F117-G117</f>
        <v>0</v>
      </c>
    </row>
    <row r="118" spans="1:8" s="276" customFormat="1" ht="26.25" hidden="1" thickBot="1">
      <c r="A118" s="944"/>
      <c r="B118" s="945"/>
      <c r="C118" s="778" t="s">
        <v>311</v>
      </c>
      <c r="D118" s="779" t="s">
        <v>312</v>
      </c>
      <c r="E118" s="716">
        <f>G118</f>
        <v>0</v>
      </c>
      <c r="F118" s="716">
        <f>SUM(F120:F122)</f>
        <v>0</v>
      </c>
      <c r="G118" s="721">
        <v>0</v>
      </c>
      <c r="H118" s="275"/>
    </row>
    <row r="119" spans="1:8" s="276" customFormat="1" ht="15" hidden="1" thickBot="1">
      <c r="A119" s="944"/>
      <c r="B119" s="945"/>
      <c r="C119" s="945"/>
      <c r="D119" s="946" t="s">
        <v>769</v>
      </c>
      <c r="E119" s="723">
        <v>53829</v>
      </c>
      <c r="F119" s="723"/>
      <c r="G119" s="947">
        <f>E119:E121</f>
        <v>53829</v>
      </c>
      <c r="H119" s="275">
        <f t="shared" si="10"/>
        <v>0</v>
      </c>
    </row>
    <row r="120" spans="1:8" s="276" customFormat="1" ht="15" hidden="1" thickBot="1">
      <c r="A120" s="944"/>
      <c r="B120" s="945"/>
      <c r="C120" s="945"/>
      <c r="D120" s="946" t="s">
        <v>770</v>
      </c>
      <c r="E120" s="723">
        <v>23032</v>
      </c>
      <c r="F120" s="723"/>
      <c r="G120" s="947">
        <f>E120:E122</f>
        <v>23032</v>
      </c>
      <c r="H120" s="275">
        <f t="shared" si="10"/>
        <v>0</v>
      </c>
    </row>
    <row r="121" spans="1:8" s="276" customFormat="1" ht="15" hidden="1" thickBot="1">
      <c r="A121" s="944"/>
      <c r="B121" s="945"/>
      <c r="C121" s="945"/>
      <c r="D121" s="946" t="s">
        <v>771</v>
      </c>
      <c r="E121" s="723">
        <v>13114</v>
      </c>
      <c r="F121" s="723"/>
      <c r="G121" s="947">
        <f>E121:E123</f>
        <v>13114</v>
      </c>
      <c r="H121" s="275">
        <f t="shared" si="10"/>
        <v>0</v>
      </c>
    </row>
    <row r="122" spans="1:8" s="276" customFormat="1" ht="15" hidden="1" thickBot="1">
      <c r="A122" s="948"/>
      <c r="B122" s="949"/>
      <c r="C122" s="949"/>
      <c r="D122" s="950" t="s">
        <v>772</v>
      </c>
      <c r="E122" s="951">
        <v>75000</v>
      </c>
      <c r="F122" s="951"/>
      <c r="G122" s="952">
        <v>75000</v>
      </c>
      <c r="H122" s="275">
        <f t="shared" si="10"/>
        <v>0</v>
      </c>
    </row>
    <row r="123" spans="1:8" s="276" customFormat="1" ht="16.5" hidden="1" thickBot="1">
      <c r="A123" s="953" t="s">
        <v>647</v>
      </c>
      <c r="B123" s="954"/>
      <c r="C123" s="954"/>
      <c r="D123" s="955" t="s">
        <v>648</v>
      </c>
      <c r="E123" s="956">
        <f>E124+E126</f>
        <v>0</v>
      </c>
      <c r="F123" s="956">
        <f>F124+F126</f>
        <v>0</v>
      </c>
      <c r="G123" s="957">
        <f>G124+G126</f>
        <v>0</v>
      </c>
      <c r="H123" s="275">
        <f t="shared" si="10"/>
        <v>0</v>
      </c>
    </row>
    <row r="124" spans="1:8" s="276" customFormat="1" ht="14.25" hidden="1">
      <c r="A124" s="943"/>
      <c r="B124" s="915">
        <v>92601</v>
      </c>
      <c r="C124" s="915"/>
      <c r="D124" s="916" t="s">
        <v>763</v>
      </c>
      <c r="E124" s="718">
        <f>E125</f>
        <v>0</v>
      </c>
      <c r="F124" s="718">
        <f>F125</f>
        <v>0</v>
      </c>
      <c r="G124" s="720">
        <f>G125</f>
        <v>0</v>
      </c>
      <c r="H124" s="275">
        <f t="shared" si="10"/>
        <v>0</v>
      </c>
    </row>
    <row r="125" spans="1:8" s="276" customFormat="1" ht="25.5" hidden="1">
      <c r="A125" s="927"/>
      <c r="B125" s="778"/>
      <c r="C125" s="778">
        <v>6290</v>
      </c>
      <c r="D125" s="779" t="s">
        <v>312</v>
      </c>
      <c r="E125" s="716">
        <v>0</v>
      </c>
      <c r="F125" s="716">
        <v>0</v>
      </c>
      <c r="G125" s="721">
        <v>0</v>
      </c>
      <c r="H125" s="275">
        <f t="shared" si="10"/>
        <v>0</v>
      </c>
    </row>
    <row r="126" spans="1:8" s="276" customFormat="1" ht="14.25" hidden="1">
      <c r="A126" s="944"/>
      <c r="B126" s="945">
        <v>92695</v>
      </c>
      <c r="C126" s="945"/>
      <c r="D126" s="946" t="s">
        <v>178</v>
      </c>
      <c r="E126" s="723">
        <f>E127</f>
        <v>0</v>
      </c>
      <c r="F126" s="723">
        <f>F127</f>
        <v>0</v>
      </c>
      <c r="G126" s="947">
        <f>G127</f>
        <v>0</v>
      </c>
      <c r="H126" s="275">
        <f t="shared" si="10"/>
        <v>0</v>
      </c>
    </row>
    <row r="127" spans="1:8" s="276" customFormat="1" ht="26.25" hidden="1" thickBot="1">
      <c r="A127" s="927"/>
      <c r="B127" s="778"/>
      <c r="C127" s="778" t="s">
        <v>311</v>
      </c>
      <c r="D127" s="779" t="s">
        <v>312</v>
      </c>
      <c r="E127" s="716">
        <v>0</v>
      </c>
      <c r="F127" s="716"/>
      <c r="G127" s="721">
        <v>0</v>
      </c>
      <c r="H127" s="275">
        <f t="shared" si="10"/>
        <v>0</v>
      </c>
    </row>
    <row r="128" spans="1:8" s="410" customFormat="1" ht="15" hidden="1" thickBot="1">
      <c r="A128" s="640"/>
      <c r="B128" s="45"/>
      <c r="C128" s="45"/>
      <c r="D128" s="46"/>
      <c r="E128" s="47"/>
      <c r="F128" s="47"/>
      <c r="G128" s="641"/>
      <c r="H128" s="273">
        <f t="shared" si="10"/>
        <v>0</v>
      </c>
    </row>
    <row r="129" spans="1:8" s="410" customFormat="1" ht="15" hidden="1" thickBot="1">
      <c r="A129" s="640"/>
      <c r="B129" s="45"/>
      <c r="C129" s="45"/>
      <c r="D129" s="46"/>
      <c r="E129" s="47"/>
      <c r="F129" s="47"/>
      <c r="G129" s="641"/>
      <c r="H129" s="273">
        <f t="shared" si="10"/>
        <v>0</v>
      </c>
    </row>
    <row r="130" spans="1:8" s="893" customFormat="1" ht="15" hidden="1" thickBot="1">
      <c r="A130" s="634"/>
      <c r="B130" s="49"/>
      <c r="C130" s="49"/>
      <c r="D130" s="50"/>
      <c r="E130" s="51"/>
      <c r="F130" s="51"/>
      <c r="G130" s="631"/>
      <c r="H130" s="273">
        <f t="shared" si="10"/>
        <v>0</v>
      </c>
    </row>
    <row r="131" spans="1:8" s="893" customFormat="1" ht="16.5" thickBot="1">
      <c r="A131" s="1156" t="s">
        <v>139</v>
      </c>
      <c r="B131" s="1157"/>
      <c r="C131" s="1157"/>
      <c r="D131" s="1158"/>
      <c r="E131" s="48">
        <f>E7+E23+E13+E10+E28+E32+E41+E44+E73+E80+E92+E95+E108+E115+E20+E123</f>
        <v>10726407</v>
      </c>
      <c r="F131" s="48">
        <f>F7+F23+F13+F10+F28+F32+F41+F44+F73+F80+F92+F95+F108+F115+F20+F123</f>
        <v>9853207</v>
      </c>
      <c r="G131" s="645">
        <f>G7+G23+G13+G10+G28+G32+G41+G44+G73+G80+G92+G95+G108+G115+G20+G123</f>
        <v>873200</v>
      </c>
      <c r="H131" s="894">
        <f>E131-F131-G131</f>
        <v>0</v>
      </c>
    </row>
    <row r="132" spans="1:7" s="893" customFormat="1" ht="12.75">
      <c r="A132" s="909"/>
      <c r="B132" s="909"/>
      <c r="C132" s="909"/>
      <c r="D132" s="910"/>
      <c r="F132" s="912"/>
      <c r="G132" s="912"/>
    </row>
    <row r="133" spans="1:7" s="893" customFormat="1" ht="12.75">
      <c r="A133" s="909"/>
      <c r="B133" s="909"/>
      <c r="C133" s="909"/>
      <c r="D133" s="910"/>
      <c r="F133" s="912"/>
      <c r="G133" s="912"/>
    </row>
    <row r="134" spans="1:7" s="893" customFormat="1" ht="12.75">
      <c r="A134" s="909"/>
      <c r="B134" s="909"/>
      <c r="C134" s="909"/>
      <c r="D134" s="910"/>
      <c r="F134" s="912"/>
      <c r="G134" s="912"/>
    </row>
    <row r="135" spans="1:7" s="893" customFormat="1" ht="12.75">
      <c r="A135" s="909"/>
      <c r="B135" s="909"/>
      <c r="C135" s="909"/>
      <c r="D135" s="910"/>
      <c r="F135" s="912"/>
      <c r="G135" s="912"/>
    </row>
    <row r="136" spans="1:7" s="893" customFormat="1" ht="12.75">
      <c r="A136" s="909"/>
      <c r="B136" s="909"/>
      <c r="C136" s="909"/>
      <c r="D136" s="910"/>
      <c r="F136" s="912"/>
      <c r="G136" s="912"/>
    </row>
    <row r="137" spans="1:7" s="893" customFormat="1" ht="12.75">
      <c r="A137" s="909"/>
      <c r="B137" s="909"/>
      <c r="C137" s="909"/>
      <c r="D137" s="910"/>
      <c r="F137" s="912"/>
      <c r="G137" s="912"/>
    </row>
    <row r="138" spans="1:7" s="893" customFormat="1" ht="12.75">
      <c r="A138" s="909"/>
      <c r="B138" s="909"/>
      <c r="C138" s="909"/>
      <c r="D138" s="910"/>
      <c r="F138" s="912"/>
      <c r="G138" s="912"/>
    </row>
    <row r="139" spans="1:7" s="893" customFormat="1" ht="12.75">
      <c r="A139" s="909"/>
      <c r="B139" s="909"/>
      <c r="C139" s="909"/>
      <c r="D139" s="910"/>
      <c r="F139" s="912"/>
      <c r="G139" s="912"/>
    </row>
    <row r="140" spans="1:7" s="893" customFormat="1" ht="12.75">
      <c r="A140" s="909"/>
      <c r="B140" s="909"/>
      <c r="C140" s="909"/>
      <c r="D140" s="910"/>
      <c r="F140" s="912"/>
      <c r="G140" s="912"/>
    </row>
    <row r="141" spans="1:7" s="893" customFormat="1" ht="12.75">
      <c r="A141" s="909"/>
      <c r="B141" s="909"/>
      <c r="C141" s="909"/>
      <c r="D141" s="910"/>
      <c r="F141" s="912"/>
      <c r="G141" s="912"/>
    </row>
    <row r="142" spans="1:7" s="893" customFormat="1" ht="12.75">
      <c r="A142" s="909"/>
      <c r="B142" s="909"/>
      <c r="C142" s="909"/>
      <c r="D142" s="910"/>
      <c r="F142" s="912"/>
      <c r="G142" s="912"/>
    </row>
    <row r="143" spans="1:7" s="893" customFormat="1" ht="12.75">
      <c r="A143" s="909"/>
      <c r="B143" s="909"/>
      <c r="C143" s="909"/>
      <c r="D143" s="910"/>
      <c r="F143" s="912"/>
      <c r="G143" s="912"/>
    </row>
    <row r="144" spans="1:7" s="893" customFormat="1" ht="12.75">
      <c r="A144" s="909"/>
      <c r="B144" s="909"/>
      <c r="C144" s="909"/>
      <c r="D144" s="910"/>
      <c r="F144" s="912"/>
      <c r="G144" s="912"/>
    </row>
    <row r="145" spans="1:7" s="893" customFormat="1" ht="12.75">
      <c r="A145" s="909"/>
      <c r="B145" s="909"/>
      <c r="C145" s="909"/>
      <c r="D145" s="910"/>
      <c r="F145" s="912"/>
      <c r="G145" s="912"/>
    </row>
    <row r="146" spans="1:7" s="893" customFormat="1" ht="12.75">
      <c r="A146" s="909"/>
      <c r="B146" s="909"/>
      <c r="C146" s="909"/>
      <c r="D146" s="910"/>
      <c r="F146" s="912"/>
      <c r="G146" s="912"/>
    </row>
    <row r="147" spans="1:7" s="893" customFormat="1" ht="12.75">
      <c r="A147" s="909"/>
      <c r="B147" s="909"/>
      <c r="C147" s="909"/>
      <c r="D147" s="910"/>
      <c r="F147" s="912"/>
      <c r="G147" s="912"/>
    </row>
    <row r="148" spans="1:7" s="893" customFormat="1" ht="12.75">
      <c r="A148" s="909"/>
      <c r="B148" s="909"/>
      <c r="C148" s="909"/>
      <c r="D148" s="910"/>
      <c r="F148" s="912"/>
      <c r="G148" s="912"/>
    </row>
    <row r="149" spans="1:7" s="893" customFormat="1" ht="12.75">
      <c r="A149" s="909"/>
      <c r="B149" s="909"/>
      <c r="C149" s="909"/>
      <c r="D149" s="910"/>
      <c r="F149" s="912"/>
      <c r="G149" s="912"/>
    </row>
    <row r="150" spans="1:7" s="893" customFormat="1" ht="12.75">
      <c r="A150" s="909"/>
      <c r="B150" s="909"/>
      <c r="C150" s="909"/>
      <c r="D150" s="910"/>
      <c r="F150" s="912"/>
      <c r="G150" s="912"/>
    </row>
    <row r="151" spans="1:7" s="893" customFormat="1" ht="12.75">
      <c r="A151" s="909"/>
      <c r="B151" s="909"/>
      <c r="C151" s="909"/>
      <c r="D151" s="910"/>
      <c r="F151" s="912"/>
      <c r="G151" s="912"/>
    </row>
    <row r="152" spans="1:7" s="893" customFormat="1" ht="12.75">
      <c r="A152" s="909"/>
      <c r="B152" s="909"/>
      <c r="C152" s="909"/>
      <c r="D152" s="910"/>
      <c r="F152" s="912"/>
      <c r="G152" s="912"/>
    </row>
    <row r="153" spans="1:7" s="893" customFormat="1" ht="12.75">
      <c r="A153" s="909"/>
      <c r="B153" s="909"/>
      <c r="C153" s="909"/>
      <c r="D153" s="910"/>
      <c r="F153" s="912"/>
      <c r="G153" s="912"/>
    </row>
  </sheetData>
  <mergeCells count="9">
    <mergeCell ref="F1:G1"/>
    <mergeCell ref="A2:G2"/>
    <mergeCell ref="E4:E5"/>
    <mergeCell ref="F4:G4"/>
    <mergeCell ref="A131:D131"/>
    <mergeCell ref="D4:D5"/>
    <mergeCell ref="C4:C5"/>
    <mergeCell ref="B4:B5"/>
    <mergeCell ref="A4:A5"/>
  </mergeCells>
  <printOptions horizontalCentered="1"/>
  <pageMargins left="0.15748031496062992" right="0.2362204724409449" top="0.31496062992125984" bottom="0.35433070866141736" header="0.1968503937007874" footer="0.15748031496062992"/>
  <pageSetup fitToHeight="4" fitToWidth="1" horizontalDpi="600" verticalDpi="600" orientation="landscape" paperSize="9" scale="95" r:id="rId1"/>
  <headerFooter alignWithMargins="0">
    <oddFooter>&amp;CStrona &amp;P z &amp;N</oddFooter>
  </headerFooter>
  <rowBreaks count="2" manualBreakCount="2">
    <brk id="31" max="6" man="1"/>
    <brk id="63" max="6" man="1"/>
  </rowBreaks>
  <ignoredErrors>
    <ignoredError sqref="A10 B11 C12 C15 C25:C27 C30 C34:C35 C37 C114 C43 C46 C48:C52 C54:C63 C67:C68 C65 C70 C72 C107 C87 C89 C94 C97 C99 C101:C102 C104:C105 C82:C83" numberStoredAsText="1"/>
    <ignoredError sqref="E15 E114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3">
    <tabColor indexed="42"/>
  </sheetPr>
  <dimension ref="A1:N270"/>
  <sheetViews>
    <sheetView showGridLines="0" zoomScale="85" zoomScaleNormal="85" zoomScaleSheetLayoutView="115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3" sqref="A3"/>
    </sheetView>
  </sheetViews>
  <sheetFormatPr defaultColWidth="9.00390625" defaultRowHeight="12.75"/>
  <cols>
    <col min="1" max="1" width="5.625" style="0" customWidth="1"/>
    <col min="2" max="2" width="9.625" style="593" customWidth="1"/>
    <col min="3" max="3" width="6.00390625" style="0" customWidth="1"/>
    <col min="4" max="4" width="38.875" style="0" customWidth="1"/>
    <col min="5" max="5" width="14.375" style="208" customWidth="1"/>
    <col min="6" max="11" width="11.625" style="159" customWidth="1"/>
    <col min="12" max="12" width="13.75390625" style="159" customWidth="1"/>
    <col min="13" max="13" width="10.625" style="237" customWidth="1"/>
    <col min="14" max="14" width="10.25390625" style="0" customWidth="1"/>
  </cols>
  <sheetData>
    <row r="1" spans="11:13" ht="45" customHeight="1">
      <c r="K1" s="1163" t="s">
        <v>856</v>
      </c>
      <c r="L1" s="1163"/>
      <c r="M1" s="236"/>
    </row>
    <row r="2" spans="1:13" ht="27.75" customHeight="1">
      <c r="A2" s="1170" t="s">
        <v>900</v>
      </c>
      <c r="B2" s="1170"/>
      <c r="C2" s="1170"/>
      <c r="D2" s="1170"/>
      <c r="E2" s="1170"/>
      <c r="F2" s="1170"/>
      <c r="G2" s="1170"/>
      <c r="H2" s="1170"/>
      <c r="I2" s="1170"/>
      <c r="J2" s="1170"/>
      <c r="K2" s="1170"/>
      <c r="M2" s="236"/>
    </row>
    <row r="3" spans="1:13" ht="15.75">
      <c r="A3" s="32"/>
      <c r="B3" s="32"/>
      <c r="C3" s="32"/>
      <c r="D3" s="32"/>
      <c r="E3" s="240"/>
      <c r="F3" s="241"/>
      <c r="G3" s="241"/>
      <c r="H3" s="241"/>
      <c r="I3" s="242"/>
      <c r="L3" s="228" t="s">
        <v>92</v>
      </c>
      <c r="M3" s="236"/>
    </row>
    <row r="4" spans="1:12" s="23" customFormat="1" ht="12.75">
      <c r="A4" s="1172" t="s">
        <v>52</v>
      </c>
      <c r="B4" s="1172" t="s">
        <v>53</v>
      </c>
      <c r="C4" s="1172" t="s">
        <v>129</v>
      </c>
      <c r="D4" s="1172" t="s">
        <v>69</v>
      </c>
      <c r="E4" s="1167" t="s">
        <v>899</v>
      </c>
      <c r="F4" s="1122" t="s">
        <v>120</v>
      </c>
      <c r="G4" s="1122"/>
      <c r="H4" s="1122"/>
      <c r="I4" s="1122"/>
      <c r="J4" s="1122"/>
      <c r="K4" s="1122"/>
      <c r="L4" s="1122"/>
    </row>
    <row r="5" spans="1:12" s="23" customFormat="1" ht="12.75">
      <c r="A5" s="1173"/>
      <c r="B5" s="1173"/>
      <c r="C5" s="1173"/>
      <c r="D5" s="1173"/>
      <c r="E5" s="1168"/>
      <c r="F5" s="1122" t="s">
        <v>88</v>
      </c>
      <c r="G5" s="1122" t="s">
        <v>56</v>
      </c>
      <c r="H5" s="1122"/>
      <c r="I5" s="1122"/>
      <c r="J5" s="1122"/>
      <c r="K5" s="1122"/>
      <c r="L5" s="1122" t="s">
        <v>90</v>
      </c>
    </row>
    <row r="6" spans="1:12" s="29" customFormat="1" ht="51">
      <c r="A6" s="1174"/>
      <c r="B6" s="1174"/>
      <c r="C6" s="1174"/>
      <c r="D6" s="1174"/>
      <c r="E6" s="1169"/>
      <c r="F6" s="1122"/>
      <c r="G6" s="1101" t="s">
        <v>153</v>
      </c>
      <c r="H6" s="1101" t="s">
        <v>154</v>
      </c>
      <c r="I6" s="1101" t="s">
        <v>155</v>
      </c>
      <c r="J6" s="1101" t="s">
        <v>156</v>
      </c>
      <c r="K6" s="1101" t="s">
        <v>157</v>
      </c>
      <c r="L6" s="1122"/>
    </row>
    <row r="7" spans="1:12" s="23" customFormat="1" ht="13.5" thickBot="1">
      <c r="A7" s="262">
        <v>1</v>
      </c>
      <c r="B7" s="262">
        <v>2</v>
      </c>
      <c r="C7" s="262">
        <v>3</v>
      </c>
      <c r="D7" s="262">
        <v>4</v>
      </c>
      <c r="E7" s="263">
        <v>5</v>
      </c>
      <c r="F7" s="264">
        <v>6</v>
      </c>
      <c r="G7" s="264">
        <v>7</v>
      </c>
      <c r="H7" s="264">
        <v>8</v>
      </c>
      <c r="I7" s="264">
        <v>9</v>
      </c>
      <c r="J7" s="264">
        <v>10</v>
      </c>
      <c r="K7" s="264">
        <v>11</v>
      </c>
      <c r="L7" s="264">
        <v>12</v>
      </c>
    </row>
    <row r="8" spans="1:14" s="244" customFormat="1" ht="15.75" thickBot="1">
      <c r="A8" s="250" t="s">
        <v>327</v>
      </c>
      <c r="B8" s="553"/>
      <c r="C8" s="250"/>
      <c r="D8" s="251" t="s">
        <v>373</v>
      </c>
      <c r="E8" s="253">
        <f aca="true" t="shared" si="0" ref="E8:L8">E9+E12+E17</f>
        <v>89000</v>
      </c>
      <c r="F8" s="253">
        <f t="shared" si="0"/>
        <v>23000</v>
      </c>
      <c r="G8" s="253">
        <f t="shared" si="0"/>
        <v>0</v>
      </c>
      <c r="H8" s="253">
        <f t="shared" si="0"/>
        <v>0</v>
      </c>
      <c r="I8" s="253">
        <f t="shared" si="0"/>
        <v>0</v>
      </c>
      <c r="J8" s="253">
        <f t="shared" si="0"/>
        <v>0</v>
      </c>
      <c r="K8" s="253">
        <f t="shared" si="0"/>
        <v>0</v>
      </c>
      <c r="L8" s="253">
        <f t="shared" si="0"/>
        <v>66000</v>
      </c>
      <c r="M8" s="266">
        <f>F8+L8</f>
        <v>89000</v>
      </c>
      <c r="N8" s="265">
        <f>E8-M8</f>
        <v>0</v>
      </c>
    </row>
    <row r="9" spans="1:14" s="23" customFormat="1" ht="15">
      <c r="A9" s="175"/>
      <c r="B9" s="595" t="s">
        <v>374</v>
      </c>
      <c r="C9" s="175"/>
      <c r="D9" s="195" t="s">
        <v>375</v>
      </c>
      <c r="E9" s="491">
        <f>E10+E11</f>
        <v>6500</v>
      </c>
      <c r="F9" s="491">
        <f aca="true" t="shared" si="1" ref="F9:L9">F10+F11</f>
        <v>6500</v>
      </c>
      <c r="G9" s="491">
        <f t="shared" si="1"/>
        <v>0</v>
      </c>
      <c r="H9" s="491">
        <f t="shared" si="1"/>
        <v>0</v>
      </c>
      <c r="I9" s="491">
        <f t="shared" si="1"/>
        <v>0</v>
      </c>
      <c r="J9" s="491">
        <f t="shared" si="1"/>
        <v>0</v>
      </c>
      <c r="K9" s="491">
        <f t="shared" si="1"/>
        <v>0</v>
      </c>
      <c r="L9" s="491">
        <f t="shared" si="1"/>
        <v>0</v>
      </c>
      <c r="M9" s="266">
        <f aca="true" t="shared" si="2" ref="M9:M92">F9+L9</f>
        <v>6500</v>
      </c>
      <c r="N9" s="265">
        <f aca="true" t="shared" si="3" ref="N9:N92">E9-M9</f>
        <v>0</v>
      </c>
    </row>
    <row r="10" spans="1:14" s="771" customFormat="1" ht="14.25" hidden="1">
      <c r="A10" s="742"/>
      <c r="B10" s="741"/>
      <c r="C10" s="742" t="s">
        <v>378</v>
      </c>
      <c r="D10" s="743" t="s">
        <v>765</v>
      </c>
      <c r="E10" s="802">
        <v>500</v>
      </c>
      <c r="F10" s="802">
        <v>500</v>
      </c>
      <c r="G10" s="802"/>
      <c r="H10" s="802"/>
      <c r="I10" s="802"/>
      <c r="J10" s="802"/>
      <c r="K10" s="802"/>
      <c r="L10" s="802"/>
      <c r="M10" s="800">
        <f t="shared" si="2"/>
        <v>500</v>
      </c>
      <c r="N10" s="801">
        <f t="shared" si="3"/>
        <v>0</v>
      </c>
    </row>
    <row r="11" spans="1:14" s="771" customFormat="1" ht="15.75" customHeight="1" hidden="1">
      <c r="A11" s="742"/>
      <c r="B11" s="741"/>
      <c r="C11" s="742" t="s">
        <v>378</v>
      </c>
      <c r="D11" s="743" t="s">
        <v>766</v>
      </c>
      <c r="E11" s="802">
        <v>6000</v>
      </c>
      <c r="F11" s="802">
        <v>6000</v>
      </c>
      <c r="G11" s="802"/>
      <c r="H11" s="802"/>
      <c r="I11" s="802"/>
      <c r="J11" s="802"/>
      <c r="K11" s="802"/>
      <c r="L11" s="802"/>
      <c r="M11" s="800">
        <f t="shared" si="2"/>
        <v>6000</v>
      </c>
      <c r="N11" s="801">
        <f t="shared" si="3"/>
        <v>0</v>
      </c>
    </row>
    <row r="12" spans="1:14" s="23" customFormat="1" ht="15">
      <c r="A12" s="182"/>
      <c r="B12" s="650" t="s">
        <v>380</v>
      </c>
      <c r="C12" s="182"/>
      <c r="D12" s="183" t="s">
        <v>381</v>
      </c>
      <c r="E12" s="184">
        <f>SUM(E13:E16)</f>
        <v>66000</v>
      </c>
      <c r="F12" s="184">
        <f aca="true" t="shared" si="4" ref="F12:L12">SUM(F13:F16)</f>
        <v>0</v>
      </c>
      <c r="G12" s="184">
        <f t="shared" si="4"/>
        <v>0</v>
      </c>
      <c r="H12" s="184">
        <f t="shared" si="4"/>
        <v>0</v>
      </c>
      <c r="I12" s="184">
        <f t="shared" si="4"/>
        <v>0</v>
      </c>
      <c r="J12" s="184">
        <f t="shared" si="4"/>
        <v>0</v>
      </c>
      <c r="K12" s="184">
        <f t="shared" si="4"/>
        <v>0</v>
      </c>
      <c r="L12" s="184">
        <f t="shared" si="4"/>
        <v>66000</v>
      </c>
      <c r="M12" s="266">
        <f t="shared" si="2"/>
        <v>66000</v>
      </c>
      <c r="N12" s="265">
        <f t="shared" si="3"/>
        <v>0</v>
      </c>
    </row>
    <row r="13" spans="1:14" s="771" customFormat="1" ht="14.25" hidden="1">
      <c r="A13" s="811"/>
      <c r="B13" s="812"/>
      <c r="C13" s="818" t="s">
        <v>386</v>
      </c>
      <c r="D13" s="819" t="s">
        <v>444</v>
      </c>
      <c r="E13" s="817">
        <v>6000</v>
      </c>
      <c r="F13" s="772"/>
      <c r="G13" s="772"/>
      <c r="H13" s="772"/>
      <c r="I13" s="772"/>
      <c r="J13" s="772"/>
      <c r="K13" s="772"/>
      <c r="L13" s="817">
        <v>6000</v>
      </c>
      <c r="M13" s="800">
        <f t="shared" si="2"/>
        <v>6000</v>
      </c>
      <c r="N13" s="801">
        <f t="shared" si="3"/>
        <v>0</v>
      </c>
    </row>
    <row r="14" spans="1:14" s="771" customFormat="1" ht="14.25" hidden="1">
      <c r="A14" s="1175" t="s">
        <v>520</v>
      </c>
      <c r="B14" s="1176"/>
      <c r="C14" s="811" t="s">
        <v>398</v>
      </c>
      <c r="D14" s="766" t="s">
        <v>767</v>
      </c>
      <c r="E14" s="772">
        <v>45000</v>
      </c>
      <c r="F14" s="772"/>
      <c r="G14" s="772"/>
      <c r="H14" s="772"/>
      <c r="I14" s="772"/>
      <c r="J14" s="772"/>
      <c r="K14" s="772"/>
      <c r="L14" s="772">
        <v>45000</v>
      </c>
      <c r="M14" s="800">
        <f t="shared" si="2"/>
        <v>45000</v>
      </c>
      <c r="N14" s="801">
        <f t="shared" si="3"/>
        <v>0</v>
      </c>
    </row>
    <row r="15" spans="1:14" s="771" customFormat="1" ht="14.25" hidden="1">
      <c r="A15" s="811"/>
      <c r="B15" s="812"/>
      <c r="C15" s="811" t="s">
        <v>399</v>
      </c>
      <c r="D15" s="766" t="s">
        <v>768</v>
      </c>
      <c r="E15" s="772">
        <v>15000</v>
      </c>
      <c r="F15" s="772"/>
      <c r="G15" s="772"/>
      <c r="H15" s="772"/>
      <c r="I15" s="772"/>
      <c r="J15" s="772"/>
      <c r="K15" s="772"/>
      <c r="L15" s="772">
        <v>15000</v>
      </c>
      <c r="M15" s="800">
        <f t="shared" si="2"/>
        <v>15000</v>
      </c>
      <c r="N15" s="801">
        <f t="shared" si="3"/>
        <v>0</v>
      </c>
    </row>
    <row r="16" spans="1:14" s="771" customFormat="1" ht="25.5" hidden="1">
      <c r="A16" s="811"/>
      <c r="B16" s="812"/>
      <c r="C16" s="818" t="s">
        <v>443</v>
      </c>
      <c r="D16" s="819" t="s">
        <v>445</v>
      </c>
      <c r="E16" s="817">
        <v>0</v>
      </c>
      <c r="F16" s="772"/>
      <c r="G16" s="772"/>
      <c r="H16" s="772"/>
      <c r="I16" s="772"/>
      <c r="J16" s="772"/>
      <c r="K16" s="772"/>
      <c r="L16" s="817">
        <v>0</v>
      </c>
      <c r="M16" s="800">
        <f t="shared" si="2"/>
        <v>0</v>
      </c>
      <c r="N16" s="801">
        <f t="shared" si="3"/>
        <v>0</v>
      </c>
    </row>
    <row r="17" spans="1:14" s="23" customFormat="1" ht="15.75" thickBot="1">
      <c r="A17" s="182"/>
      <c r="B17" s="650" t="s">
        <v>388</v>
      </c>
      <c r="C17" s="182"/>
      <c r="D17" s="183" t="s">
        <v>735</v>
      </c>
      <c r="E17" s="184">
        <v>16500</v>
      </c>
      <c r="F17" s="184">
        <v>16500</v>
      </c>
      <c r="G17" s="184"/>
      <c r="H17" s="184"/>
      <c r="I17" s="184"/>
      <c r="J17" s="184"/>
      <c r="K17" s="184"/>
      <c r="L17" s="184"/>
      <c r="M17" s="266">
        <f t="shared" si="2"/>
        <v>16500</v>
      </c>
      <c r="N17" s="265">
        <f t="shared" si="3"/>
        <v>0</v>
      </c>
    </row>
    <row r="18" spans="1:14" s="254" customFormat="1" ht="15.75" hidden="1" thickBot="1">
      <c r="A18" s="258"/>
      <c r="B18" s="728"/>
      <c r="C18" s="258" t="s">
        <v>446</v>
      </c>
      <c r="D18" s="729" t="s">
        <v>447</v>
      </c>
      <c r="E18" s="757">
        <v>16500</v>
      </c>
      <c r="F18" s="757">
        <v>16500</v>
      </c>
      <c r="G18" s="757"/>
      <c r="H18" s="757"/>
      <c r="I18" s="757"/>
      <c r="J18" s="757"/>
      <c r="K18" s="757"/>
      <c r="L18" s="757"/>
      <c r="M18" s="267"/>
      <c r="N18" s="268"/>
    </row>
    <row r="19" spans="1:14" s="244" customFormat="1" ht="15.75" thickBot="1">
      <c r="A19" s="554" t="s">
        <v>392</v>
      </c>
      <c r="B19" s="594"/>
      <c r="C19" s="554"/>
      <c r="D19" s="555" t="s">
        <v>181</v>
      </c>
      <c r="E19" s="556">
        <f>E20+E23+E24</f>
        <v>871770</v>
      </c>
      <c r="F19" s="556">
        <f aca="true" t="shared" si="5" ref="F19:L19">F20+F23+F24</f>
        <v>189770</v>
      </c>
      <c r="G19" s="556">
        <f t="shared" si="5"/>
        <v>0</v>
      </c>
      <c r="H19" s="556">
        <f t="shared" si="5"/>
        <v>0</v>
      </c>
      <c r="I19" s="556">
        <f t="shared" si="5"/>
        <v>0</v>
      </c>
      <c r="J19" s="556">
        <f t="shared" si="5"/>
        <v>0</v>
      </c>
      <c r="K19" s="556">
        <f t="shared" si="5"/>
        <v>0</v>
      </c>
      <c r="L19" s="556">
        <f t="shared" si="5"/>
        <v>682000</v>
      </c>
      <c r="M19" s="266">
        <f t="shared" si="2"/>
        <v>871770</v>
      </c>
      <c r="N19" s="265">
        <f t="shared" si="3"/>
        <v>0</v>
      </c>
    </row>
    <row r="20" spans="1:14" s="23" customFormat="1" ht="15">
      <c r="A20" s="175"/>
      <c r="B20" s="595" t="s">
        <v>448</v>
      </c>
      <c r="C20" s="175"/>
      <c r="D20" s="195" t="s">
        <v>449</v>
      </c>
      <c r="E20" s="491">
        <f>SUM(E21:E22)</f>
        <v>130000</v>
      </c>
      <c r="F20" s="491">
        <f aca="true" t="shared" si="6" ref="F20:L20">SUM(F21:F22)</f>
        <v>0</v>
      </c>
      <c r="G20" s="491">
        <f t="shared" si="6"/>
        <v>0</v>
      </c>
      <c r="H20" s="491">
        <f t="shared" si="6"/>
        <v>0</v>
      </c>
      <c r="I20" s="491">
        <f t="shared" si="6"/>
        <v>0</v>
      </c>
      <c r="J20" s="491">
        <f t="shared" si="6"/>
        <v>0</v>
      </c>
      <c r="K20" s="491">
        <f t="shared" si="6"/>
        <v>0</v>
      </c>
      <c r="L20" s="491">
        <f t="shared" si="6"/>
        <v>130000</v>
      </c>
      <c r="M20" s="266">
        <f>F20+L20</f>
        <v>130000</v>
      </c>
      <c r="N20" s="265">
        <f>E20-M20</f>
        <v>0</v>
      </c>
    </row>
    <row r="21" spans="1:14" s="771" customFormat="1" ht="25.5" hidden="1">
      <c r="A21" s="742"/>
      <c r="B21" s="741"/>
      <c r="C21" s="742" t="s">
        <v>450</v>
      </c>
      <c r="D21" s="743" t="s">
        <v>451</v>
      </c>
      <c r="E21" s="802">
        <v>30000</v>
      </c>
      <c r="F21" s="802"/>
      <c r="G21" s="802"/>
      <c r="H21" s="802"/>
      <c r="I21" s="802"/>
      <c r="J21" s="802"/>
      <c r="K21" s="802"/>
      <c r="L21" s="802">
        <v>30000</v>
      </c>
      <c r="M21" s="800">
        <f>F21+L21</f>
        <v>30000</v>
      </c>
      <c r="N21" s="801">
        <f>E21-M21</f>
        <v>0</v>
      </c>
    </row>
    <row r="22" spans="1:14" s="771" customFormat="1" ht="38.25" hidden="1">
      <c r="A22" s="875"/>
      <c r="B22" s="839" t="s">
        <v>792</v>
      </c>
      <c r="C22" s="742" t="s">
        <v>450</v>
      </c>
      <c r="D22" s="743" t="s">
        <v>452</v>
      </c>
      <c r="E22" s="814">
        <v>100000</v>
      </c>
      <c r="F22" s="802"/>
      <c r="G22" s="802"/>
      <c r="H22" s="802"/>
      <c r="I22" s="802"/>
      <c r="J22" s="802"/>
      <c r="K22" s="802"/>
      <c r="L22" s="802">
        <v>100000</v>
      </c>
      <c r="M22" s="800">
        <f>F22+L22</f>
        <v>100000</v>
      </c>
      <c r="N22" s="801">
        <f>E22-M22</f>
        <v>0</v>
      </c>
    </row>
    <row r="23" spans="1:14" s="23" customFormat="1" ht="15">
      <c r="A23" s="175"/>
      <c r="B23" s="595" t="s">
        <v>393</v>
      </c>
      <c r="C23" s="175"/>
      <c r="D23" s="195" t="s">
        <v>182</v>
      </c>
      <c r="E23" s="491">
        <v>40000</v>
      </c>
      <c r="F23" s="491">
        <v>40000</v>
      </c>
      <c r="G23" s="491"/>
      <c r="H23" s="491"/>
      <c r="I23" s="491"/>
      <c r="J23" s="491"/>
      <c r="K23" s="491"/>
      <c r="L23" s="491"/>
      <c r="M23" s="266">
        <f t="shared" si="2"/>
        <v>40000</v>
      </c>
      <c r="N23" s="265">
        <f t="shared" si="3"/>
        <v>0</v>
      </c>
    </row>
    <row r="24" spans="1:14" s="23" customFormat="1" ht="15.75" thickBot="1">
      <c r="A24" s="182"/>
      <c r="B24" s="650" t="s">
        <v>395</v>
      </c>
      <c r="C24" s="182"/>
      <c r="D24" s="183" t="s">
        <v>396</v>
      </c>
      <c r="E24" s="184">
        <f aca="true" t="shared" si="7" ref="E24:L24">SUM(E25:E43)</f>
        <v>701770</v>
      </c>
      <c r="F24" s="184">
        <f t="shared" si="7"/>
        <v>149770</v>
      </c>
      <c r="G24" s="184">
        <f t="shared" si="7"/>
        <v>0</v>
      </c>
      <c r="H24" s="184">
        <f t="shared" si="7"/>
        <v>0</v>
      </c>
      <c r="I24" s="184">
        <f t="shared" si="7"/>
        <v>0</v>
      </c>
      <c r="J24" s="184">
        <f t="shared" si="7"/>
        <v>0</v>
      </c>
      <c r="K24" s="184">
        <f t="shared" si="7"/>
        <v>0</v>
      </c>
      <c r="L24" s="184">
        <f t="shared" si="7"/>
        <v>552000</v>
      </c>
      <c r="M24" s="266">
        <f t="shared" si="2"/>
        <v>701770</v>
      </c>
      <c r="N24" s="265">
        <f t="shared" si="3"/>
        <v>0</v>
      </c>
    </row>
    <row r="25" spans="1:14" s="771" customFormat="1" ht="12.75" hidden="1">
      <c r="A25" s="768"/>
      <c r="B25" s="760"/>
      <c r="C25" s="760" t="s">
        <v>378</v>
      </c>
      <c r="D25" s="761" t="s">
        <v>737</v>
      </c>
      <c r="E25" s="762">
        <v>59770</v>
      </c>
      <c r="F25" s="762">
        <v>59770</v>
      </c>
      <c r="G25" s="762"/>
      <c r="H25" s="762"/>
      <c r="I25" s="762"/>
      <c r="J25" s="762"/>
      <c r="K25" s="762"/>
      <c r="L25" s="762"/>
      <c r="M25" s="769">
        <f t="shared" si="2"/>
        <v>59770</v>
      </c>
      <c r="N25" s="770">
        <f t="shared" si="3"/>
        <v>0</v>
      </c>
    </row>
    <row r="26" spans="1:14" s="771" customFormat="1" ht="12.75" hidden="1">
      <c r="A26" s="766"/>
      <c r="B26" s="765"/>
      <c r="C26" s="820">
        <v>4300</v>
      </c>
      <c r="D26" s="819" t="s">
        <v>805</v>
      </c>
      <c r="E26" s="817">
        <v>0</v>
      </c>
      <c r="F26" s="817">
        <v>0</v>
      </c>
      <c r="G26" s="772"/>
      <c r="H26" s="772"/>
      <c r="I26" s="772"/>
      <c r="J26" s="772"/>
      <c r="K26" s="772"/>
      <c r="L26" s="772"/>
      <c r="M26" s="769">
        <f>F26+L26</f>
        <v>0</v>
      </c>
      <c r="N26" s="770">
        <f>E26-M26</f>
        <v>0</v>
      </c>
    </row>
    <row r="27" spans="1:14" s="771" customFormat="1" ht="25.5" hidden="1">
      <c r="A27" s="768"/>
      <c r="B27" s="760"/>
      <c r="C27" s="760" t="s">
        <v>379</v>
      </c>
      <c r="D27" s="761" t="s">
        <v>459</v>
      </c>
      <c r="E27" s="806">
        <v>80000</v>
      </c>
      <c r="F27" s="806">
        <v>80000</v>
      </c>
      <c r="G27" s="762"/>
      <c r="H27" s="762"/>
      <c r="I27" s="762"/>
      <c r="J27" s="762"/>
      <c r="K27" s="762"/>
      <c r="L27" s="762"/>
      <c r="M27" s="769">
        <f t="shared" si="2"/>
        <v>80000</v>
      </c>
      <c r="N27" s="770">
        <f t="shared" si="3"/>
        <v>0</v>
      </c>
    </row>
    <row r="28" spans="1:14" s="771" customFormat="1" ht="12.75" hidden="1">
      <c r="A28" s="768"/>
      <c r="B28" s="760"/>
      <c r="C28" s="760" t="s">
        <v>402</v>
      </c>
      <c r="D28" s="761" t="s">
        <v>453</v>
      </c>
      <c r="E28" s="762">
        <v>10000</v>
      </c>
      <c r="F28" s="762">
        <v>10000</v>
      </c>
      <c r="G28" s="762"/>
      <c r="H28" s="762"/>
      <c r="I28" s="762"/>
      <c r="J28" s="762"/>
      <c r="K28" s="762"/>
      <c r="L28" s="762"/>
      <c r="M28" s="769">
        <f t="shared" si="2"/>
        <v>10000</v>
      </c>
      <c r="N28" s="770">
        <f t="shared" si="3"/>
        <v>0</v>
      </c>
    </row>
    <row r="29" spans="1:14" s="771" customFormat="1" ht="12.75" hidden="1">
      <c r="A29" s="768"/>
      <c r="B29" s="760"/>
      <c r="C29" s="768"/>
      <c r="D29" s="761"/>
      <c r="E29" s="762"/>
      <c r="F29" s="762"/>
      <c r="G29" s="762"/>
      <c r="H29" s="762"/>
      <c r="I29" s="762"/>
      <c r="J29" s="762"/>
      <c r="K29" s="762"/>
      <c r="L29" s="762"/>
      <c r="M29" s="769">
        <f t="shared" si="2"/>
        <v>0</v>
      </c>
      <c r="N29" s="770">
        <f t="shared" si="3"/>
        <v>0</v>
      </c>
    </row>
    <row r="30" spans="1:14" s="771" customFormat="1" ht="25.5" hidden="1">
      <c r="A30" s="841" t="s">
        <v>512</v>
      </c>
      <c r="B30" s="760" t="s">
        <v>523</v>
      </c>
      <c r="C30" s="768" t="s">
        <v>386</v>
      </c>
      <c r="D30" s="761" t="s">
        <v>498</v>
      </c>
      <c r="E30" s="806">
        <v>50000</v>
      </c>
      <c r="F30" s="762"/>
      <c r="G30" s="762"/>
      <c r="H30" s="762"/>
      <c r="I30" s="762"/>
      <c r="J30" s="762"/>
      <c r="K30" s="762"/>
      <c r="L30" s="762">
        <v>50000</v>
      </c>
      <c r="M30" s="769">
        <f t="shared" si="2"/>
        <v>50000</v>
      </c>
      <c r="N30" s="770">
        <f t="shared" si="3"/>
        <v>0</v>
      </c>
    </row>
    <row r="31" spans="1:14" s="771" customFormat="1" ht="25.5" hidden="1">
      <c r="A31" s="841" t="s">
        <v>512</v>
      </c>
      <c r="B31" s="760" t="s">
        <v>522</v>
      </c>
      <c r="C31" s="768" t="s">
        <v>386</v>
      </c>
      <c r="D31" s="761" t="s">
        <v>499</v>
      </c>
      <c r="E31" s="806">
        <v>80000</v>
      </c>
      <c r="F31" s="762"/>
      <c r="G31" s="762"/>
      <c r="H31" s="762"/>
      <c r="I31" s="762"/>
      <c r="J31" s="762"/>
      <c r="K31" s="762"/>
      <c r="L31" s="762">
        <v>80000</v>
      </c>
      <c r="M31" s="769">
        <f t="shared" si="2"/>
        <v>80000</v>
      </c>
      <c r="N31" s="770">
        <f t="shared" si="3"/>
        <v>0</v>
      </c>
    </row>
    <row r="32" spans="1:14" s="771" customFormat="1" ht="25.5" hidden="1">
      <c r="A32" s="841" t="s">
        <v>512</v>
      </c>
      <c r="B32" s="775"/>
      <c r="C32" s="768"/>
      <c r="D32" s="761"/>
      <c r="E32" s="806"/>
      <c r="F32" s="762"/>
      <c r="G32" s="762"/>
      <c r="H32" s="762"/>
      <c r="I32" s="762"/>
      <c r="J32" s="762"/>
      <c r="K32" s="762"/>
      <c r="L32" s="762"/>
      <c r="M32" s="769">
        <f t="shared" si="2"/>
        <v>0</v>
      </c>
      <c r="N32" s="770">
        <f t="shared" si="3"/>
        <v>0</v>
      </c>
    </row>
    <row r="33" spans="1:14" s="771" customFormat="1" ht="25.5" hidden="1">
      <c r="A33" s="841" t="s">
        <v>512</v>
      </c>
      <c r="B33" s="776" t="s">
        <v>521</v>
      </c>
      <c r="C33" s="761">
        <v>6050</v>
      </c>
      <c r="D33" s="761" t="s">
        <v>500</v>
      </c>
      <c r="E33" s="806">
        <v>60000</v>
      </c>
      <c r="F33" s="762"/>
      <c r="G33" s="762"/>
      <c r="H33" s="762"/>
      <c r="I33" s="762"/>
      <c r="J33" s="762"/>
      <c r="K33" s="762"/>
      <c r="L33" s="762">
        <v>60000</v>
      </c>
      <c r="M33" s="769">
        <f t="shared" si="2"/>
        <v>60000</v>
      </c>
      <c r="N33" s="770">
        <f t="shared" si="3"/>
        <v>0</v>
      </c>
    </row>
    <row r="34" spans="1:14" s="771" customFormat="1" ht="12.75" hidden="1">
      <c r="A34" s="761"/>
      <c r="B34" s="776"/>
      <c r="C34" s="761"/>
      <c r="D34" s="761"/>
      <c r="E34" s="762"/>
      <c r="F34" s="762"/>
      <c r="G34" s="762"/>
      <c r="H34" s="762"/>
      <c r="I34" s="762"/>
      <c r="J34" s="762"/>
      <c r="K34" s="762"/>
      <c r="L34" s="762"/>
      <c r="M34" s="769">
        <f t="shared" si="2"/>
        <v>0</v>
      </c>
      <c r="N34" s="770">
        <f t="shared" si="3"/>
        <v>0</v>
      </c>
    </row>
    <row r="35" spans="1:14" s="771" customFormat="1" ht="12.75" hidden="1">
      <c r="A35" s="761"/>
      <c r="B35" s="776"/>
      <c r="C35" s="761">
        <v>6050</v>
      </c>
      <c r="D35" s="761" t="s">
        <v>739</v>
      </c>
      <c r="E35" s="762">
        <v>20000</v>
      </c>
      <c r="F35" s="762"/>
      <c r="G35" s="762"/>
      <c r="H35" s="762"/>
      <c r="I35" s="762"/>
      <c r="J35" s="762"/>
      <c r="K35" s="762"/>
      <c r="L35" s="762">
        <v>20000</v>
      </c>
      <c r="M35" s="769">
        <f t="shared" si="2"/>
        <v>20000</v>
      </c>
      <c r="N35" s="770">
        <f t="shared" si="3"/>
        <v>0</v>
      </c>
    </row>
    <row r="36" spans="1:14" s="417" customFormat="1" ht="51" hidden="1">
      <c r="A36" s="758"/>
      <c r="B36" s="773"/>
      <c r="C36" s="821">
        <v>6050</v>
      </c>
      <c r="D36" s="821" t="s">
        <v>454</v>
      </c>
      <c r="E36" s="822">
        <v>292000</v>
      </c>
      <c r="F36" s="822"/>
      <c r="G36" s="822"/>
      <c r="H36" s="822"/>
      <c r="I36" s="822"/>
      <c r="J36" s="822"/>
      <c r="K36" s="822"/>
      <c r="L36" s="822">
        <v>292000</v>
      </c>
      <c r="M36" s="419">
        <f t="shared" si="2"/>
        <v>292000</v>
      </c>
      <c r="N36" s="767">
        <f t="shared" si="3"/>
        <v>0</v>
      </c>
    </row>
    <row r="37" spans="1:14" s="254" customFormat="1" ht="38.25" hidden="1">
      <c r="A37" s="876"/>
      <c r="B37" s="838" t="s">
        <v>517</v>
      </c>
      <c r="C37" s="823">
        <v>6050</v>
      </c>
      <c r="D37" s="823" t="s">
        <v>501</v>
      </c>
      <c r="E37" s="822">
        <v>50000</v>
      </c>
      <c r="F37" s="828"/>
      <c r="G37" s="828"/>
      <c r="H37" s="828"/>
      <c r="I37" s="828"/>
      <c r="J37" s="828"/>
      <c r="K37" s="828"/>
      <c r="L37" s="828">
        <v>50000</v>
      </c>
      <c r="M37" s="763">
        <f t="shared" si="2"/>
        <v>50000</v>
      </c>
      <c r="N37" s="764">
        <f t="shared" si="3"/>
        <v>0</v>
      </c>
    </row>
    <row r="38" spans="1:14" s="254" customFormat="1" ht="12.75" hidden="1">
      <c r="A38" s="733"/>
      <c r="B38" s="776"/>
      <c r="C38" s="761"/>
      <c r="D38" s="761" t="s">
        <v>455</v>
      </c>
      <c r="E38" s="725"/>
      <c r="F38" s="725"/>
      <c r="G38" s="725"/>
      <c r="H38" s="725"/>
      <c r="I38" s="725"/>
      <c r="J38" s="725"/>
      <c r="K38" s="725"/>
      <c r="L38" s="725"/>
      <c r="M38" s="763"/>
      <c r="N38" s="764"/>
    </row>
    <row r="39" spans="1:14" s="254" customFormat="1" ht="25.5" hidden="1">
      <c r="A39" s="733"/>
      <c r="B39" s="776" t="s">
        <v>523</v>
      </c>
      <c r="C39" s="761"/>
      <c r="D39" s="761" t="s">
        <v>456</v>
      </c>
      <c r="E39" s="725"/>
      <c r="F39" s="725"/>
      <c r="G39" s="725"/>
      <c r="H39" s="725"/>
      <c r="I39" s="725"/>
      <c r="J39" s="725"/>
      <c r="K39" s="725"/>
      <c r="L39" s="725"/>
      <c r="M39" s="763"/>
      <c r="N39" s="764"/>
    </row>
    <row r="40" spans="1:14" s="254" customFormat="1" ht="12.75" hidden="1">
      <c r="A40" s="733"/>
      <c r="B40" s="776"/>
      <c r="C40" s="761"/>
      <c r="D40" s="761" t="s">
        <v>457</v>
      </c>
      <c r="E40" s="725"/>
      <c r="F40" s="725"/>
      <c r="G40" s="725"/>
      <c r="H40" s="725"/>
      <c r="I40" s="725"/>
      <c r="J40" s="725"/>
      <c r="K40" s="725"/>
      <c r="L40" s="725"/>
      <c r="M40" s="763"/>
      <c r="N40" s="764"/>
    </row>
    <row r="41" spans="1:14" s="254" customFormat="1" ht="12.75" hidden="1">
      <c r="A41" s="733"/>
      <c r="B41" s="776">
        <f>25000+40000+30000+25000</f>
        <v>120000</v>
      </c>
      <c r="C41" s="761"/>
      <c r="D41" s="761" t="s">
        <v>458</v>
      </c>
      <c r="E41" s="725"/>
      <c r="F41" s="725"/>
      <c r="G41" s="725"/>
      <c r="H41" s="725"/>
      <c r="I41" s="725"/>
      <c r="J41" s="725"/>
      <c r="K41" s="725"/>
      <c r="L41" s="725"/>
      <c r="M41" s="763"/>
      <c r="N41" s="764"/>
    </row>
    <row r="42" spans="1:14" s="254" customFormat="1" ht="26.25" hidden="1" thickBot="1">
      <c r="A42" s="733"/>
      <c r="B42" s="776"/>
      <c r="C42" s="761"/>
      <c r="D42" s="761" t="s">
        <v>513</v>
      </c>
      <c r="E42" s="725"/>
      <c r="F42" s="725"/>
      <c r="G42" s="725"/>
      <c r="H42" s="725"/>
      <c r="I42" s="725"/>
      <c r="J42" s="725"/>
      <c r="K42" s="725"/>
      <c r="L42" s="725"/>
      <c r="M42" s="763"/>
      <c r="N42" s="764"/>
    </row>
    <row r="43" spans="1:14" s="254" customFormat="1" ht="15.75" hidden="1" thickBot="1">
      <c r="A43" s="733"/>
      <c r="B43" s="739"/>
      <c r="C43" s="738"/>
      <c r="D43" s="738"/>
      <c r="E43" s="725"/>
      <c r="F43" s="725"/>
      <c r="G43" s="725"/>
      <c r="H43" s="725"/>
      <c r="I43" s="725"/>
      <c r="J43" s="725"/>
      <c r="K43" s="725"/>
      <c r="L43" s="725"/>
      <c r="M43" s="267"/>
      <c r="N43" s="268"/>
    </row>
    <row r="44" spans="1:14" s="321" customFormat="1" ht="15.75" thickBot="1">
      <c r="A44" s="554" t="s">
        <v>400</v>
      </c>
      <c r="B44" s="594"/>
      <c r="C44" s="554"/>
      <c r="D44" s="555" t="s">
        <v>332</v>
      </c>
      <c r="E44" s="556">
        <f aca="true" t="shared" si="8" ref="E44:L44">E45+E50</f>
        <v>1332600</v>
      </c>
      <c r="F44" s="556">
        <f t="shared" si="8"/>
        <v>68600</v>
      </c>
      <c r="G44" s="556">
        <f t="shared" si="8"/>
        <v>0</v>
      </c>
      <c r="H44" s="556">
        <f t="shared" si="8"/>
        <v>0</v>
      </c>
      <c r="I44" s="556">
        <f t="shared" si="8"/>
        <v>1500</v>
      </c>
      <c r="J44" s="556">
        <f t="shared" si="8"/>
        <v>0</v>
      </c>
      <c r="K44" s="556">
        <f t="shared" si="8"/>
        <v>0</v>
      </c>
      <c r="L44" s="556">
        <f t="shared" si="8"/>
        <v>1264000</v>
      </c>
      <c r="M44" s="266">
        <f t="shared" si="2"/>
        <v>1332600</v>
      </c>
      <c r="N44" s="265">
        <f t="shared" si="3"/>
        <v>0</v>
      </c>
    </row>
    <row r="45" spans="1:14" s="23" customFormat="1" ht="25.5">
      <c r="A45" s="175"/>
      <c r="B45" s="595" t="s">
        <v>401</v>
      </c>
      <c r="C45" s="175"/>
      <c r="D45" s="195" t="s">
        <v>333</v>
      </c>
      <c r="E45" s="491">
        <f aca="true" t="shared" si="9" ref="E45:L45">E46+E47+E48+E49</f>
        <v>39000</v>
      </c>
      <c r="F45" s="491">
        <f t="shared" si="9"/>
        <v>39000</v>
      </c>
      <c r="G45" s="491">
        <f t="shared" si="9"/>
        <v>0</v>
      </c>
      <c r="H45" s="491">
        <f t="shared" si="9"/>
        <v>0</v>
      </c>
      <c r="I45" s="491">
        <f t="shared" si="9"/>
        <v>1500</v>
      </c>
      <c r="J45" s="491">
        <f t="shared" si="9"/>
        <v>0</v>
      </c>
      <c r="K45" s="491">
        <f t="shared" si="9"/>
        <v>0</v>
      </c>
      <c r="L45" s="491">
        <f t="shared" si="9"/>
        <v>0</v>
      </c>
      <c r="M45" s="266">
        <f t="shared" si="2"/>
        <v>39000</v>
      </c>
      <c r="N45" s="265">
        <f t="shared" si="3"/>
        <v>0</v>
      </c>
    </row>
    <row r="46" spans="1:14" s="771" customFormat="1" ht="25.5" hidden="1">
      <c r="A46" s="742"/>
      <c r="B46" s="741"/>
      <c r="C46" s="742" t="s">
        <v>402</v>
      </c>
      <c r="D46" s="743" t="s">
        <v>461</v>
      </c>
      <c r="E46" s="762">
        <v>5000</v>
      </c>
      <c r="F46" s="762">
        <v>5000</v>
      </c>
      <c r="G46" s="762"/>
      <c r="H46" s="762"/>
      <c r="I46" s="762"/>
      <c r="J46" s="762"/>
      <c r="K46" s="762"/>
      <c r="L46" s="762"/>
      <c r="M46" s="800">
        <f t="shared" si="2"/>
        <v>5000</v>
      </c>
      <c r="N46" s="801">
        <f t="shared" si="3"/>
        <v>0</v>
      </c>
    </row>
    <row r="47" spans="1:14" s="771" customFormat="1" ht="14.25" hidden="1">
      <c r="A47" s="742"/>
      <c r="B47" s="741"/>
      <c r="C47" s="742" t="s">
        <v>760</v>
      </c>
      <c r="D47" s="743" t="s">
        <v>789</v>
      </c>
      <c r="E47" s="762">
        <v>1500</v>
      </c>
      <c r="F47" s="762">
        <v>1500</v>
      </c>
      <c r="G47" s="762"/>
      <c r="H47" s="762"/>
      <c r="I47" s="762">
        <v>1500</v>
      </c>
      <c r="J47" s="762"/>
      <c r="K47" s="762"/>
      <c r="L47" s="762"/>
      <c r="M47" s="800">
        <f t="shared" si="2"/>
        <v>1500</v>
      </c>
      <c r="N47" s="801">
        <f t="shared" si="3"/>
        <v>0</v>
      </c>
    </row>
    <row r="48" spans="1:14" s="771" customFormat="1" ht="38.25" hidden="1">
      <c r="A48" s="742"/>
      <c r="B48" s="741"/>
      <c r="C48" s="742" t="s">
        <v>378</v>
      </c>
      <c r="D48" s="743" t="s">
        <v>460</v>
      </c>
      <c r="E48" s="762">
        <v>7000</v>
      </c>
      <c r="F48" s="762">
        <v>7000</v>
      </c>
      <c r="G48" s="762"/>
      <c r="H48" s="762"/>
      <c r="I48" s="762"/>
      <c r="J48" s="762"/>
      <c r="K48" s="762"/>
      <c r="L48" s="762"/>
      <c r="M48" s="800">
        <f t="shared" si="2"/>
        <v>7000</v>
      </c>
      <c r="N48" s="801">
        <f t="shared" si="3"/>
        <v>0</v>
      </c>
    </row>
    <row r="49" spans="1:14" s="771" customFormat="1" ht="25.5" hidden="1">
      <c r="A49" s="742"/>
      <c r="B49" s="741"/>
      <c r="C49" s="742" t="s">
        <v>378</v>
      </c>
      <c r="D49" s="743" t="s">
        <v>333</v>
      </c>
      <c r="E49" s="762">
        <v>25500</v>
      </c>
      <c r="F49" s="762">
        <v>25500</v>
      </c>
      <c r="G49" s="762"/>
      <c r="H49" s="762"/>
      <c r="I49" s="762"/>
      <c r="J49" s="762"/>
      <c r="K49" s="762"/>
      <c r="L49" s="762"/>
      <c r="M49" s="800">
        <f t="shared" si="2"/>
        <v>25500</v>
      </c>
      <c r="N49" s="801">
        <f t="shared" si="3"/>
        <v>0</v>
      </c>
    </row>
    <row r="50" spans="1:14" s="23" customFormat="1" ht="15.75" thickBot="1">
      <c r="A50" s="175"/>
      <c r="B50" s="595" t="s">
        <v>406</v>
      </c>
      <c r="C50" s="175"/>
      <c r="D50" s="195" t="s">
        <v>178</v>
      </c>
      <c r="E50" s="184">
        <f>SUM(E51:E67)</f>
        <v>1293600</v>
      </c>
      <c r="F50" s="184">
        <f aca="true" t="shared" si="10" ref="F50:L50">SUM(F51:F67)</f>
        <v>29600</v>
      </c>
      <c r="G50" s="184">
        <f t="shared" si="10"/>
        <v>0</v>
      </c>
      <c r="H50" s="184">
        <f t="shared" si="10"/>
        <v>0</v>
      </c>
      <c r="I50" s="184">
        <f t="shared" si="10"/>
        <v>0</v>
      </c>
      <c r="J50" s="184">
        <f t="shared" si="10"/>
        <v>0</v>
      </c>
      <c r="K50" s="184">
        <f t="shared" si="10"/>
        <v>0</v>
      </c>
      <c r="L50" s="184">
        <f t="shared" si="10"/>
        <v>1264000</v>
      </c>
      <c r="M50" s="266">
        <f t="shared" si="2"/>
        <v>1293600</v>
      </c>
      <c r="N50" s="265">
        <f t="shared" si="3"/>
        <v>0</v>
      </c>
    </row>
    <row r="51" spans="1:14" s="771" customFormat="1" ht="15.75" customHeight="1" hidden="1">
      <c r="A51" s="742"/>
      <c r="B51" s="741"/>
      <c r="C51" s="742"/>
      <c r="D51" s="743"/>
      <c r="E51" s="762"/>
      <c r="F51" s="762"/>
      <c r="G51" s="762"/>
      <c r="H51" s="762"/>
      <c r="I51" s="762"/>
      <c r="J51" s="762"/>
      <c r="K51" s="762"/>
      <c r="L51" s="762"/>
      <c r="M51" s="800"/>
      <c r="N51" s="801"/>
    </row>
    <row r="52" spans="1:14" s="771" customFormat="1" ht="14.25" hidden="1">
      <c r="A52" s="761"/>
      <c r="B52" s="776"/>
      <c r="C52" s="761">
        <v>4260</v>
      </c>
      <c r="D52" s="761" t="s">
        <v>740</v>
      </c>
      <c r="E52" s="762">
        <v>2500</v>
      </c>
      <c r="F52" s="762">
        <v>2500</v>
      </c>
      <c r="G52" s="762"/>
      <c r="H52" s="762"/>
      <c r="I52" s="762"/>
      <c r="J52" s="762"/>
      <c r="K52" s="762"/>
      <c r="L52" s="762"/>
      <c r="M52" s="800">
        <f t="shared" si="2"/>
        <v>2500</v>
      </c>
      <c r="N52" s="801">
        <f t="shared" si="3"/>
        <v>0</v>
      </c>
    </row>
    <row r="53" spans="1:14" s="771" customFormat="1" ht="14.25" hidden="1">
      <c r="A53" s="761"/>
      <c r="B53" s="776"/>
      <c r="C53" s="761">
        <v>4300</v>
      </c>
      <c r="D53" s="761" t="s">
        <v>464</v>
      </c>
      <c r="E53" s="762">
        <v>16100</v>
      </c>
      <c r="F53" s="762">
        <v>16100</v>
      </c>
      <c r="G53" s="762"/>
      <c r="H53" s="762"/>
      <c r="I53" s="762"/>
      <c r="J53" s="762"/>
      <c r="K53" s="762"/>
      <c r="L53" s="762"/>
      <c r="M53" s="800">
        <f t="shared" si="2"/>
        <v>16100</v>
      </c>
      <c r="N53" s="801">
        <f t="shared" si="3"/>
        <v>0</v>
      </c>
    </row>
    <row r="54" spans="1:14" s="771" customFormat="1" ht="14.25" hidden="1">
      <c r="A54" s="761"/>
      <c r="B54" s="776"/>
      <c r="C54" s="761">
        <v>4300</v>
      </c>
      <c r="D54" s="761" t="s">
        <v>714</v>
      </c>
      <c r="E54" s="762">
        <v>6000</v>
      </c>
      <c r="F54" s="762">
        <v>6000</v>
      </c>
      <c r="G54" s="762"/>
      <c r="H54" s="762"/>
      <c r="I54" s="762"/>
      <c r="J54" s="762"/>
      <c r="K54" s="762"/>
      <c r="L54" s="762"/>
      <c r="M54" s="800">
        <f t="shared" si="2"/>
        <v>6000</v>
      </c>
      <c r="N54" s="801">
        <f t="shared" si="3"/>
        <v>0</v>
      </c>
    </row>
    <row r="55" spans="1:14" s="771" customFormat="1" ht="14.25" hidden="1">
      <c r="A55" s="761"/>
      <c r="B55" s="776"/>
      <c r="C55" s="761">
        <v>4300</v>
      </c>
      <c r="D55" s="761" t="s">
        <v>741</v>
      </c>
      <c r="E55" s="762">
        <v>5000</v>
      </c>
      <c r="F55" s="762">
        <v>5000</v>
      </c>
      <c r="G55" s="762"/>
      <c r="H55" s="762"/>
      <c r="I55" s="762"/>
      <c r="J55" s="762"/>
      <c r="K55" s="762"/>
      <c r="L55" s="762"/>
      <c r="M55" s="800">
        <f t="shared" si="2"/>
        <v>5000</v>
      </c>
      <c r="N55" s="801">
        <f t="shared" si="3"/>
        <v>0</v>
      </c>
    </row>
    <row r="56" spans="1:14" s="809" customFormat="1" ht="25.5" hidden="1">
      <c r="A56" s="1179" t="s">
        <v>297</v>
      </c>
      <c r="B56" s="1180"/>
      <c r="C56" s="774">
        <v>6050</v>
      </c>
      <c r="D56" s="774" t="s">
        <v>465</v>
      </c>
      <c r="E56" s="806"/>
      <c r="F56" s="806"/>
      <c r="G56" s="806"/>
      <c r="H56" s="806"/>
      <c r="I56" s="806"/>
      <c r="J56" s="806"/>
      <c r="K56" s="806"/>
      <c r="L56" s="806">
        <f>E56</f>
        <v>0</v>
      </c>
      <c r="M56" s="807">
        <f t="shared" si="2"/>
        <v>0</v>
      </c>
      <c r="N56" s="808">
        <f t="shared" si="3"/>
        <v>0</v>
      </c>
    </row>
    <row r="57" spans="1:14" s="771" customFormat="1" ht="14.25" hidden="1">
      <c r="A57" s="761"/>
      <c r="B57" s="776"/>
      <c r="C57" s="761"/>
      <c r="D57" s="761"/>
      <c r="E57" s="762"/>
      <c r="F57" s="762"/>
      <c r="G57" s="762"/>
      <c r="H57" s="762"/>
      <c r="I57" s="762"/>
      <c r="J57" s="762"/>
      <c r="K57" s="762"/>
      <c r="L57" s="762">
        <f aca="true" t="shared" si="11" ref="L57:L67">E57</f>
        <v>0</v>
      </c>
      <c r="M57" s="800">
        <f t="shared" si="2"/>
        <v>0</v>
      </c>
      <c r="N57" s="801">
        <f t="shared" si="3"/>
        <v>0</v>
      </c>
    </row>
    <row r="58" spans="1:14" s="771" customFormat="1" ht="14.25" hidden="1">
      <c r="A58" s="761"/>
      <c r="B58" s="838" t="s">
        <v>792</v>
      </c>
      <c r="C58" s="761">
        <v>6058</v>
      </c>
      <c r="D58" s="761" t="s">
        <v>462</v>
      </c>
      <c r="E58" s="762">
        <v>1031900</v>
      </c>
      <c r="F58" s="762"/>
      <c r="G58" s="762"/>
      <c r="H58" s="762"/>
      <c r="I58" s="762"/>
      <c r="J58" s="762"/>
      <c r="K58" s="762"/>
      <c r="L58" s="762">
        <f t="shared" si="11"/>
        <v>1031900</v>
      </c>
      <c r="M58" s="800">
        <f t="shared" si="2"/>
        <v>1031900</v>
      </c>
      <c r="N58" s="801">
        <f t="shared" si="3"/>
        <v>0</v>
      </c>
    </row>
    <row r="59" spans="1:14" s="771" customFormat="1" ht="14.25" hidden="1">
      <c r="A59" s="761"/>
      <c r="B59" s="776"/>
      <c r="C59" s="761">
        <v>6059</v>
      </c>
      <c r="D59" s="761" t="s">
        <v>462</v>
      </c>
      <c r="E59" s="762">
        <v>182100</v>
      </c>
      <c r="F59" s="762"/>
      <c r="G59" s="762"/>
      <c r="H59" s="762"/>
      <c r="I59" s="762"/>
      <c r="J59" s="762"/>
      <c r="K59" s="762"/>
      <c r="L59" s="762">
        <f t="shared" si="11"/>
        <v>182100</v>
      </c>
      <c r="M59" s="800">
        <f t="shared" si="2"/>
        <v>182100</v>
      </c>
      <c r="N59" s="801">
        <f t="shared" si="3"/>
        <v>0</v>
      </c>
    </row>
    <row r="60" spans="1:14" s="771" customFormat="1" ht="26.25" customHeight="1" hidden="1">
      <c r="A60" s="1181" t="s">
        <v>511</v>
      </c>
      <c r="B60" s="1182"/>
      <c r="C60" s="761">
        <v>6058</v>
      </c>
      <c r="D60" s="761" t="s">
        <v>463</v>
      </c>
      <c r="E60" s="806">
        <v>25000</v>
      </c>
      <c r="F60" s="825"/>
      <c r="G60" s="825"/>
      <c r="H60" s="825"/>
      <c r="I60" s="825"/>
      <c r="J60" s="825"/>
      <c r="K60" s="825"/>
      <c r="L60" s="825">
        <f t="shared" si="11"/>
        <v>25000</v>
      </c>
      <c r="M60" s="800">
        <f t="shared" si="2"/>
        <v>25000</v>
      </c>
      <c r="N60" s="801">
        <f t="shared" si="3"/>
        <v>0</v>
      </c>
    </row>
    <row r="61" spans="1:14" s="771" customFormat="1" ht="15" hidden="1" thickBot="1">
      <c r="A61" s="761"/>
      <c r="B61" s="776"/>
      <c r="C61" s="761">
        <v>6059</v>
      </c>
      <c r="D61" s="761" t="s">
        <v>463</v>
      </c>
      <c r="E61" s="806">
        <v>25000</v>
      </c>
      <c r="F61" s="825"/>
      <c r="G61" s="825"/>
      <c r="H61" s="825"/>
      <c r="I61" s="825"/>
      <c r="J61" s="825"/>
      <c r="K61" s="825"/>
      <c r="L61" s="825">
        <f t="shared" si="11"/>
        <v>25000</v>
      </c>
      <c r="M61" s="800">
        <f t="shared" si="2"/>
        <v>25000</v>
      </c>
      <c r="N61" s="801">
        <f t="shared" si="3"/>
        <v>0</v>
      </c>
    </row>
    <row r="62" spans="1:14" s="254" customFormat="1" ht="15" hidden="1">
      <c r="A62" s="733"/>
      <c r="B62" s="740"/>
      <c r="C62" s="733"/>
      <c r="D62" s="733"/>
      <c r="E62" s="725"/>
      <c r="F62" s="725"/>
      <c r="G62" s="725"/>
      <c r="H62" s="725"/>
      <c r="I62" s="725"/>
      <c r="J62" s="725"/>
      <c r="K62" s="725"/>
      <c r="L62" s="725">
        <f t="shared" si="11"/>
        <v>0</v>
      </c>
      <c r="M62" s="267">
        <f t="shared" si="2"/>
        <v>0</v>
      </c>
      <c r="N62" s="268">
        <f t="shared" si="3"/>
        <v>0</v>
      </c>
    </row>
    <row r="63" spans="1:14" s="254" customFormat="1" ht="15" hidden="1">
      <c r="A63" s="733"/>
      <c r="B63" s="740"/>
      <c r="C63" s="733"/>
      <c r="D63" s="733"/>
      <c r="E63" s="725"/>
      <c r="F63" s="725"/>
      <c r="G63" s="725"/>
      <c r="H63" s="725"/>
      <c r="I63" s="725"/>
      <c r="J63" s="725"/>
      <c r="K63" s="725"/>
      <c r="L63" s="725">
        <f t="shared" si="11"/>
        <v>0</v>
      </c>
      <c r="M63" s="267">
        <f t="shared" si="2"/>
        <v>0</v>
      </c>
      <c r="N63" s="268">
        <f t="shared" si="3"/>
        <v>0</v>
      </c>
    </row>
    <row r="64" spans="1:14" s="254" customFormat="1" ht="15" hidden="1">
      <c r="A64" s="733"/>
      <c r="B64" s="740"/>
      <c r="C64" s="733"/>
      <c r="D64" s="733"/>
      <c r="E64" s="725"/>
      <c r="F64" s="725"/>
      <c r="G64" s="725"/>
      <c r="H64" s="725"/>
      <c r="I64" s="725"/>
      <c r="J64" s="725"/>
      <c r="K64" s="725"/>
      <c r="L64" s="725">
        <f t="shared" si="11"/>
        <v>0</v>
      </c>
      <c r="M64" s="267">
        <f t="shared" si="2"/>
        <v>0</v>
      </c>
      <c r="N64" s="268">
        <f t="shared" si="3"/>
        <v>0</v>
      </c>
    </row>
    <row r="65" spans="1:14" s="254" customFormat="1" ht="15" hidden="1">
      <c r="A65" s="733"/>
      <c r="B65" s="740"/>
      <c r="C65" s="733"/>
      <c r="D65" s="733"/>
      <c r="E65" s="725"/>
      <c r="F65" s="725"/>
      <c r="G65" s="725"/>
      <c r="H65" s="725"/>
      <c r="I65" s="725"/>
      <c r="J65" s="725"/>
      <c r="K65" s="725"/>
      <c r="L65" s="725">
        <f t="shared" si="11"/>
        <v>0</v>
      </c>
      <c r="M65" s="267">
        <f t="shared" si="2"/>
        <v>0</v>
      </c>
      <c r="N65" s="268">
        <f t="shared" si="3"/>
        <v>0</v>
      </c>
    </row>
    <row r="66" spans="1:14" s="254" customFormat="1" ht="15" hidden="1">
      <c r="A66" s="733"/>
      <c r="B66" s="740"/>
      <c r="C66" s="733"/>
      <c r="D66" s="733"/>
      <c r="E66" s="725"/>
      <c r="F66" s="725"/>
      <c r="G66" s="725"/>
      <c r="H66" s="725"/>
      <c r="I66" s="725"/>
      <c r="J66" s="725"/>
      <c r="K66" s="725"/>
      <c r="L66" s="725">
        <f t="shared" si="11"/>
        <v>0</v>
      </c>
      <c r="M66" s="267">
        <f t="shared" si="2"/>
        <v>0</v>
      </c>
      <c r="N66" s="268">
        <f t="shared" si="3"/>
        <v>0</v>
      </c>
    </row>
    <row r="67" spans="1:14" s="254" customFormat="1" ht="15.75" hidden="1" thickBot="1">
      <c r="A67" s="733"/>
      <c r="B67" s="740"/>
      <c r="C67" s="733"/>
      <c r="D67" s="733"/>
      <c r="E67" s="725"/>
      <c r="F67" s="725"/>
      <c r="G67" s="725"/>
      <c r="H67" s="725"/>
      <c r="I67" s="725"/>
      <c r="J67" s="725"/>
      <c r="K67" s="725"/>
      <c r="L67" s="725">
        <f t="shared" si="11"/>
        <v>0</v>
      </c>
      <c r="M67" s="267">
        <f t="shared" si="2"/>
        <v>0</v>
      </c>
      <c r="N67" s="268">
        <f t="shared" si="3"/>
        <v>0</v>
      </c>
    </row>
    <row r="68" spans="1:14" s="321" customFormat="1" ht="15.75" thickBot="1">
      <c r="A68" s="594" t="s">
        <v>411</v>
      </c>
      <c r="B68" s="594"/>
      <c r="C68" s="554"/>
      <c r="D68" s="555" t="s">
        <v>185</v>
      </c>
      <c r="E68" s="556">
        <f>E69</f>
        <v>387650</v>
      </c>
      <c r="F68" s="556">
        <f aca="true" t="shared" si="12" ref="F68:L68">F69</f>
        <v>135650</v>
      </c>
      <c r="G68" s="556">
        <f t="shared" si="12"/>
        <v>0</v>
      </c>
      <c r="H68" s="556">
        <f t="shared" si="12"/>
        <v>0</v>
      </c>
      <c r="I68" s="556">
        <f t="shared" si="12"/>
        <v>0</v>
      </c>
      <c r="J68" s="556">
        <f t="shared" si="12"/>
        <v>0</v>
      </c>
      <c r="K68" s="556">
        <f t="shared" si="12"/>
        <v>0</v>
      </c>
      <c r="L68" s="556">
        <f t="shared" si="12"/>
        <v>252000</v>
      </c>
      <c r="M68" s="266">
        <f t="shared" si="2"/>
        <v>387650</v>
      </c>
      <c r="N68" s="265">
        <f t="shared" si="3"/>
        <v>0</v>
      </c>
    </row>
    <row r="69" spans="1:14" s="23" customFormat="1" ht="15.75" thickBot="1">
      <c r="A69" s="202"/>
      <c r="B69" s="595" t="s">
        <v>412</v>
      </c>
      <c r="C69" s="175"/>
      <c r="D69" s="195" t="s">
        <v>186</v>
      </c>
      <c r="E69" s="184">
        <f>SUM(E70:E77)</f>
        <v>387650</v>
      </c>
      <c r="F69" s="184">
        <f aca="true" t="shared" si="13" ref="F69:L69">SUM(F70:F77)</f>
        <v>135650</v>
      </c>
      <c r="G69" s="184">
        <f t="shared" si="13"/>
        <v>0</v>
      </c>
      <c r="H69" s="184">
        <f t="shared" si="13"/>
        <v>0</v>
      </c>
      <c r="I69" s="184">
        <f t="shared" si="13"/>
        <v>0</v>
      </c>
      <c r="J69" s="184">
        <f t="shared" si="13"/>
        <v>0</v>
      </c>
      <c r="K69" s="184">
        <f t="shared" si="13"/>
        <v>0</v>
      </c>
      <c r="L69" s="184">
        <f t="shared" si="13"/>
        <v>252000</v>
      </c>
      <c r="M69" s="266">
        <f t="shared" si="2"/>
        <v>387650</v>
      </c>
      <c r="N69" s="265">
        <f t="shared" si="3"/>
        <v>0</v>
      </c>
    </row>
    <row r="70" spans="1:14" s="771" customFormat="1" ht="14.25" hidden="1">
      <c r="A70" s="810"/>
      <c r="B70" s="741"/>
      <c r="C70" s="761">
        <v>4210</v>
      </c>
      <c r="D70" s="761" t="s">
        <v>466</v>
      </c>
      <c r="E70" s="762">
        <v>4000</v>
      </c>
      <c r="F70" s="762">
        <v>4000</v>
      </c>
      <c r="G70" s="762"/>
      <c r="H70" s="762"/>
      <c r="I70" s="762"/>
      <c r="J70" s="762"/>
      <c r="K70" s="762"/>
      <c r="L70" s="762"/>
      <c r="M70" s="800"/>
      <c r="N70" s="801"/>
    </row>
    <row r="71" spans="1:14" s="771" customFormat="1" ht="14.25" hidden="1">
      <c r="A71" s="810"/>
      <c r="B71" s="741"/>
      <c r="C71" s="761">
        <v>4260</v>
      </c>
      <c r="D71" s="761" t="s">
        <v>742</v>
      </c>
      <c r="E71" s="762">
        <v>6000</v>
      </c>
      <c r="F71" s="762">
        <v>6000</v>
      </c>
      <c r="G71" s="762"/>
      <c r="H71" s="762"/>
      <c r="I71" s="762"/>
      <c r="J71" s="762"/>
      <c r="K71" s="762"/>
      <c r="L71" s="762"/>
      <c r="M71" s="800"/>
      <c r="N71" s="801"/>
    </row>
    <row r="72" spans="1:14" s="771" customFormat="1" ht="14.25" hidden="1">
      <c r="A72" s="761"/>
      <c r="B72" s="776"/>
      <c r="C72" s="761">
        <v>4270</v>
      </c>
      <c r="D72" s="761" t="s">
        <v>467</v>
      </c>
      <c r="E72" s="762">
        <v>15000</v>
      </c>
      <c r="F72" s="762">
        <v>15000</v>
      </c>
      <c r="G72" s="762"/>
      <c r="H72" s="762"/>
      <c r="I72" s="762"/>
      <c r="J72" s="762"/>
      <c r="K72" s="762"/>
      <c r="L72" s="762"/>
      <c r="M72" s="800">
        <f t="shared" si="2"/>
        <v>15000</v>
      </c>
      <c r="N72" s="801">
        <f t="shared" si="3"/>
        <v>0</v>
      </c>
    </row>
    <row r="73" spans="1:14" s="771" customFormat="1" ht="14.25" hidden="1">
      <c r="A73" s="761"/>
      <c r="B73" s="776"/>
      <c r="C73" s="823">
        <v>4270</v>
      </c>
      <c r="D73" s="823" t="s">
        <v>468</v>
      </c>
      <c r="E73" s="825">
        <v>5000</v>
      </c>
      <c r="F73" s="825">
        <v>5000</v>
      </c>
      <c r="G73" s="762"/>
      <c r="H73" s="762"/>
      <c r="I73" s="762"/>
      <c r="J73" s="762"/>
      <c r="K73" s="762"/>
      <c r="L73" s="762"/>
      <c r="M73" s="800">
        <f t="shared" si="2"/>
        <v>5000</v>
      </c>
      <c r="N73" s="801">
        <f t="shared" si="3"/>
        <v>0</v>
      </c>
    </row>
    <row r="74" spans="1:14" s="771" customFormat="1" ht="14.25" hidden="1">
      <c r="A74" s="761"/>
      <c r="B74" s="776"/>
      <c r="C74" s="823">
        <v>4300</v>
      </c>
      <c r="D74" s="823" t="s">
        <v>743</v>
      </c>
      <c r="E74" s="825">
        <v>105650</v>
      </c>
      <c r="F74" s="825">
        <v>105650</v>
      </c>
      <c r="G74" s="762"/>
      <c r="H74" s="762"/>
      <c r="I74" s="762"/>
      <c r="J74" s="762"/>
      <c r="K74" s="762"/>
      <c r="L74" s="762"/>
      <c r="M74" s="800">
        <f t="shared" si="2"/>
        <v>105650</v>
      </c>
      <c r="N74" s="801">
        <f t="shared" si="3"/>
        <v>0</v>
      </c>
    </row>
    <row r="75" spans="1:14" s="771" customFormat="1" ht="25.5" hidden="1">
      <c r="A75" s="761"/>
      <c r="B75" s="776"/>
      <c r="C75" s="761">
        <v>6050</v>
      </c>
      <c r="D75" s="761" t="s">
        <v>469</v>
      </c>
      <c r="E75" s="806">
        <v>20000</v>
      </c>
      <c r="F75" s="762"/>
      <c r="G75" s="762"/>
      <c r="H75" s="762"/>
      <c r="I75" s="762"/>
      <c r="J75" s="762"/>
      <c r="K75" s="762"/>
      <c r="L75" s="762">
        <v>20000</v>
      </c>
      <c r="M75" s="800"/>
      <c r="N75" s="801"/>
    </row>
    <row r="76" spans="1:14" s="771" customFormat="1" ht="25.5" hidden="1">
      <c r="A76" s="761"/>
      <c r="B76" s="776"/>
      <c r="C76" s="823">
        <v>6060</v>
      </c>
      <c r="D76" s="823" t="s">
        <v>470</v>
      </c>
      <c r="E76" s="824">
        <v>10000</v>
      </c>
      <c r="F76" s="762"/>
      <c r="G76" s="762"/>
      <c r="H76" s="762"/>
      <c r="I76" s="762"/>
      <c r="J76" s="762"/>
      <c r="K76" s="762"/>
      <c r="L76" s="825">
        <v>10000</v>
      </c>
      <c r="M76" s="800">
        <f t="shared" si="2"/>
        <v>10000</v>
      </c>
      <c r="N76" s="801">
        <f t="shared" si="3"/>
        <v>0</v>
      </c>
    </row>
    <row r="77" spans="1:14" s="771" customFormat="1" ht="15" hidden="1" thickBot="1">
      <c r="A77" s="761"/>
      <c r="B77" s="776"/>
      <c r="C77" s="761">
        <v>6060</v>
      </c>
      <c r="D77" s="761" t="s">
        <v>471</v>
      </c>
      <c r="E77" s="762">
        <v>222000</v>
      </c>
      <c r="F77" s="762"/>
      <c r="G77" s="762"/>
      <c r="H77" s="762"/>
      <c r="I77" s="762"/>
      <c r="J77" s="762"/>
      <c r="K77" s="762"/>
      <c r="L77" s="762">
        <v>222000</v>
      </c>
      <c r="M77" s="800">
        <f t="shared" si="2"/>
        <v>222000</v>
      </c>
      <c r="N77" s="801">
        <f t="shared" si="3"/>
        <v>0</v>
      </c>
    </row>
    <row r="78" spans="1:14" s="321" customFormat="1" ht="15.75" thickBot="1">
      <c r="A78" s="554" t="s">
        <v>418</v>
      </c>
      <c r="B78" s="594"/>
      <c r="C78" s="554"/>
      <c r="D78" s="555" t="s">
        <v>203</v>
      </c>
      <c r="E78" s="556">
        <f>E79+E81+E83</f>
        <v>213860</v>
      </c>
      <c r="F78" s="556">
        <f aca="true" t="shared" si="14" ref="F78:L78">F79+F81+F83</f>
        <v>208860</v>
      </c>
      <c r="G78" s="556">
        <f t="shared" si="14"/>
        <v>0</v>
      </c>
      <c r="H78" s="556">
        <f t="shared" si="14"/>
        <v>0</v>
      </c>
      <c r="I78" s="556">
        <f t="shared" si="14"/>
        <v>0</v>
      </c>
      <c r="J78" s="556">
        <f t="shared" si="14"/>
        <v>0</v>
      </c>
      <c r="K78" s="556">
        <f t="shared" si="14"/>
        <v>0</v>
      </c>
      <c r="L78" s="556">
        <f t="shared" si="14"/>
        <v>5000</v>
      </c>
      <c r="M78" s="266">
        <f t="shared" si="2"/>
        <v>213860</v>
      </c>
      <c r="N78" s="265">
        <f t="shared" si="3"/>
        <v>0</v>
      </c>
    </row>
    <row r="79" spans="1:14" s="23" customFormat="1" ht="15">
      <c r="A79" s="175"/>
      <c r="B79" s="595" t="s">
        <v>419</v>
      </c>
      <c r="C79" s="175"/>
      <c r="D79" s="195" t="s">
        <v>420</v>
      </c>
      <c r="E79" s="184">
        <f>E80</f>
        <v>80000</v>
      </c>
      <c r="F79" s="184">
        <f>F80</f>
        <v>80000</v>
      </c>
      <c r="G79" s="184"/>
      <c r="H79" s="184"/>
      <c r="I79" s="184"/>
      <c r="J79" s="184"/>
      <c r="K79" s="184"/>
      <c r="L79" s="184"/>
      <c r="M79" s="266">
        <f t="shared" si="2"/>
        <v>80000</v>
      </c>
      <c r="N79" s="265">
        <f t="shared" si="3"/>
        <v>0</v>
      </c>
    </row>
    <row r="80" spans="1:14" s="771" customFormat="1" ht="14.25" hidden="1">
      <c r="A80" s="742"/>
      <c r="B80" s="741"/>
      <c r="C80" s="826" t="s">
        <v>378</v>
      </c>
      <c r="D80" s="827" t="s">
        <v>390</v>
      </c>
      <c r="E80" s="825">
        <v>80000</v>
      </c>
      <c r="F80" s="825">
        <v>80000</v>
      </c>
      <c r="G80" s="762"/>
      <c r="H80" s="762"/>
      <c r="I80" s="762"/>
      <c r="J80" s="762"/>
      <c r="K80" s="762"/>
      <c r="L80" s="762"/>
      <c r="M80" s="800">
        <f t="shared" si="2"/>
        <v>80000</v>
      </c>
      <c r="N80" s="801">
        <f t="shared" si="3"/>
        <v>0</v>
      </c>
    </row>
    <row r="81" spans="1:14" s="23" customFormat="1" ht="15">
      <c r="A81" s="175"/>
      <c r="B81" s="595" t="s">
        <v>421</v>
      </c>
      <c r="C81" s="175"/>
      <c r="D81" s="195" t="s">
        <v>422</v>
      </c>
      <c r="E81" s="184">
        <f>E82</f>
        <v>30000</v>
      </c>
      <c r="F81" s="184">
        <f>F82</f>
        <v>30000</v>
      </c>
      <c r="G81" s="184"/>
      <c r="H81" s="184"/>
      <c r="I81" s="184"/>
      <c r="J81" s="184"/>
      <c r="K81" s="184"/>
      <c r="L81" s="184"/>
      <c r="M81" s="266">
        <f t="shared" si="2"/>
        <v>30000</v>
      </c>
      <c r="N81" s="265">
        <f t="shared" si="3"/>
        <v>0</v>
      </c>
    </row>
    <row r="82" spans="1:14" s="771" customFormat="1" ht="14.25" hidden="1">
      <c r="A82" s="742"/>
      <c r="B82" s="741"/>
      <c r="C82" s="826" t="s">
        <v>378</v>
      </c>
      <c r="D82" s="827" t="s">
        <v>390</v>
      </c>
      <c r="E82" s="825">
        <v>30000</v>
      </c>
      <c r="F82" s="825">
        <v>30000</v>
      </c>
      <c r="G82" s="762"/>
      <c r="H82" s="762"/>
      <c r="I82" s="762"/>
      <c r="J82" s="762"/>
      <c r="K82" s="762"/>
      <c r="L82" s="762"/>
      <c r="M82" s="800">
        <f t="shared" si="2"/>
        <v>30000</v>
      </c>
      <c r="N82" s="801">
        <f t="shared" si="3"/>
        <v>0</v>
      </c>
    </row>
    <row r="83" spans="1:14" s="23" customFormat="1" ht="15.75" thickBot="1">
      <c r="A83" s="175"/>
      <c r="B83" s="595" t="s">
        <v>423</v>
      </c>
      <c r="C83" s="175"/>
      <c r="D83" s="195" t="s">
        <v>204</v>
      </c>
      <c r="E83" s="184">
        <f aca="true" t="shared" si="15" ref="E83:L83">SUM(E84:E88)</f>
        <v>103860</v>
      </c>
      <c r="F83" s="184">
        <f t="shared" si="15"/>
        <v>98860</v>
      </c>
      <c r="G83" s="184">
        <f t="shared" si="15"/>
        <v>0</v>
      </c>
      <c r="H83" s="184">
        <f t="shared" si="15"/>
        <v>0</v>
      </c>
      <c r="I83" s="184">
        <f t="shared" si="15"/>
        <v>0</v>
      </c>
      <c r="J83" s="184">
        <f t="shared" si="15"/>
        <v>0</v>
      </c>
      <c r="K83" s="184">
        <f t="shared" si="15"/>
        <v>0</v>
      </c>
      <c r="L83" s="184">
        <f t="shared" si="15"/>
        <v>5000</v>
      </c>
      <c r="M83" s="266">
        <f t="shared" si="2"/>
        <v>103860</v>
      </c>
      <c r="N83" s="265">
        <f t="shared" si="3"/>
        <v>0</v>
      </c>
    </row>
    <row r="84" spans="1:14" s="771" customFormat="1" ht="14.25" hidden="1">
      <c r="A84" s="761"/>
      <c r="B84" s="776"/>
      <c r="C84" s="761">
        <v>4300</v>
      </c>
      <c r="D84" s="761" t="s">
        <v>744</v>
      </c>
      <c r="E84" s="762">
        <v>63860</v>
      </c>
      <c r="F84" s="762">
        <v>63860</v>
      </c>
      <c r="G84" s="762"/>
      <c r="H84" s="762"/>
      <c r="I84" s="762"/>
      <c r="J84" s="762"/>
      <c r="K84" s="762"/>
      <c r="L84" s="762"/>
      <c r="M84" s="800">
        <f t="shared" si="2"/>
        <v>63860</v>
      </c>
      <c r="N84" s="801">
        <f t="shared" si="3"/>
        <v>0</v>
      </c>
    </row>
    <row r="85" spans="1:14" s="771" customFormat="1" ht="25.5" hidden="1">
      <c r="A85" s="761"/>
      <c r="B85" s="776"/>
      <c r="C85" s="761">
        <v>4300</v>
      </c>
      <c r="D85" s="761" t="s">
        <v>472</v>
      </c>
      <c r="E85" s="806">
        <v>35000</v>
      </c>
      <c r="F85" s="806">
        <v>35000</v>
      </c>
      <c r="G85" s="762"/>
      <c r="H85" s="762"/>
      <c r="I85" s="762"/>
      <c r="J85" s="762"/>
      <c r="K85" s="762"/>
      <c r="L85" s="762"/>
      <c r="M85" s="800">
        <f t="shared" si="2"/>
        <v>35000</v>
      </c>
      <c r="N85" s="801">
        <f t="shared" si="3"/>
        <v>0</v>
      </c>
    </row>
    <row r="86" spans="1:14" s="771" customFormat="1" ht="15" hidden="1" thickBot="1">
      <c r="A86" s="761"/>
      <c r="B86" s="776"/>
      <c r="C86" s="823">
        <v>6050</v>
      </c>
      <c r="D86" s="823" t="s">
        <v>806</v>
      </c>
      <c r="E86" s="824">
        <v>5000</v>
      </c>
      <c r="F86" s="825"/>
      <c r="G86" s="825"/>
      <c r="H86" s="825"/>
      <c r="I86" s="825"/>
      <c r="J86" s="825"/>
      <c r="K86" s="825"/>
      <c r="L86" s="825">
        <v>5000</v>
      </c>
      <c r="M86" s="800">
        <f t="shared" si="2"/>
        <v>5000</v>
      </c>
      <c r="N86" s="801">
        <f t="shared" si="3"/>
        <v>0</v>
      </c>
    </row>
    <row r="87" spans="1:14" s="254" customFormat="1" ht="15" hidden="1">
      <c r="A87" s="733"/>
      <c r="B87" s="740"/>
      <c r="C87" s="733"/>
      <c r="D87" s="733"/>
      <c r="E87" s="725"/>
      <c r="F87" s="725"/>
      <c r="G87" s="725"/>
      <c r="H87" s="725"/>
      <c r="I87" s="725"/>
      <c r="J87" s="725"/>
      <c r="K87" s="725"/>
      <c r="L87" s="725"/>
      <c r="M87" s="267">
        <f t="shared" si="2"/>
        <v>0</v>
      </c>
      <c r="N87" s="268">
        <f t="shared" si="3"/>
        <v>0</v>
      </c>
    </row>
    <row r="88" spans="1:14" s="254" customFormat="1" ht="15.75" hidden="1" thickBot="1">
      <c r="A88" s="733"/>
      <c r="B88" s="740"/>
      <c r="C88" s="733"/>
      <c r="D88" s="733"/>
      <c r="E88" s="725"/>
      <c r="F88" s="725"/>
      <c r="G88" s="725"/>
      <c r="H88" s="725"/>
      <c r="I88" s="725"/>
      <c r="J88" s="725"/>
      <c r="K88" s="725"/>
      <c r="L88" s="725"/>
      <c r="M88" s="267">
        <f t="shared" si="2"/>
        <v>0</v>
      </c>
      <c r="N88" s="268">
        <f t="shared" si="3"/>
        <v>0</v>
      </c>
    </row>
    <row r="89" spans="1:14" s="321" customFormat="1" ht="15.75" thickBot="1">
      <c r="A89" s="554" t="s">
        <v>424</v>
      </c>
      <c r="B89" s="594"/>
      <c r="C89" s="554"/>
      <c r="D89" s="555" t="s">
        <v>207</v>
      </c>
      <c r="E89" s="556">
        <f>SUM(E90:E92)+E101+E126</f>
        <v>1844395</v>
      </c>
      <c r="F89" s="556">
        <f aca="true" t="shared" si="16" ref="F89:L89">SUM(F90:F92)+F101+F126</f>
        <v>1545895</v>
      </c>
      <c r="G89" s="556">
        <f t="shared" si="16"/>
        <v>1011500</v>
      </c>
      <c r="H89" s="556">
        <f t="shared" si="16"/>
        <v>171950</v>
      </c>
      <c r="I89" s="556">
        <f t="shared" si="16"/>
        <v>0</v>
      </c>
      <c r="J89" s="556">
        <f t="shared" si="16"/>
        <v>0</v>
      </c>
      <c r="K89" s="556">
        <f t="shared" si="16"/>
        <v>0</v>
      </c>
      <c r="L89" s="556">
        <f t="shared" si="16"/>
        <v>298500</v>
      </c>
      <c r="M89" s="266">
        <f t="shared" si="2"/>
        <v>1844395</v>
      </c>
      <c r="N89" s="265">
        <f t="shared" si="3"/>
        <v>0</v>
      </c>
    </row>
    <row r="90" spans="1:14" s="23" customFormat="1" ht="15">
      <c r="A90" s="175"/>
      <c r="B90" s="595" t="s">
        <v>425</v>
      </c>
      <c r="C90" s="175"/>
      <c r="D90" s="195" t="s">
        <v>426</v>
      </c>
      <c r="E90" s="184">
        <v>129935</v>
      </c>
      <c r="F90" s="184">
        <v>129935</v>
      </c>
      <c r="G90" s="184">
        <f>91600+7000</f>
        <v>98600</v>
      </c>
      <c r="H90" s="184">
        <f>14670+2380</f>
        <v>17050</v>
      </c>
      <c r="I90" s="184"/>
      <c r="J90" s="184"/>
      <c r="K90" s="184"/>
      <c r="L90" s="184"/>
      <c r="M90" s="266">
        <f t="shared" si="2"/>
        <v>129935</v>
      </c>
      <c r="N90" s="265">
        <f t="shared" si="3"/>
        <v>0</v>
      </c>
    </row>
    <row r="91" spans="1:14" s="23" customFormat="1" ht="15">
      <c r="A91" s="175"/>
      <c r="B91" s="595" t="s">
        <v>427</v>
      </c>
      <c r="C91" s="175"/>
      <c r="D91" s="195" t="s">
        <v>213</v>
      </c>
      <c r="E91" s="184">
        <v>2400</v>
      </c>
      <c r="F91" s="184">
        <v>2400</v>
      </c>
      <c r="G91" s="184">
        <v>2400</v>
      </c>
      <c r="H91" s="184"/>
      <c r="I91" s="184"/>
      <c r="J91" s="184"/>
      <c r="K91" s="184"/>
      <c r="L91" s="184"/>
      <c r="M91" s="266">
        <f t="shared" si="2"/>
        <v>2400</v>
      </c>
      <c r="N91" s="265">
        <f t="shared" si="3"/>
        <v>0</v>
      </c>
    </row>
    <row r="92" spans="1:14" s="23" customFormat="1" ht="15">
      <c r="A92" s="175"/>
      <c r="B92" s="595" t="s">
        <v>428</v>
      </c>
      <c r="C92" s="175"/>
      <c r="D92" s="195" t="s">
        <v>429</v>
      </c>
      <c r="E92" s="184">
        <f>SUM(E93:E100)</f>
        <v>57900</v>
      </c>
      <c r="F92" s="184">
        <f>SUM(F93:F100)</f>
        <v>57900</v>
      </c>
      <c r="G92" s="184"/>
      <c r="H92" s="184"/>
      <c r="I92" s="184"/>
      <c r="J92" s="184"/>
      <c r="K92" s="184"/>
      <c r="L92" s="184"/>
      <c r="M92" s="266">
        <f t="shared" si="2"/>
        <v>57900</v>
      </c>
      <c r="N92" s="265">
        <f t="shared" si="3"/>
        <v>0</v>
      </c>
    </row>
    <row r="93" spans="1:14" s="771" customFormat="1" ht="14.25" hidden="1">
      <c r="A93" s="742"/>
      <c r="B93" s="741"/>
      <c r="C93" s="742" t="s">
        <v>432</v>
      </c>
      <c r="D93" s="743" t="s">
        <v>291</v>
      </c>
      <c r="E93" s="762">
        <v>50400</v>
      </c>
      <c r="F93" s="762">
        <v>50400</v>
      </c>
      <c r="G93" s="762"/>
      <c r="H93" s="762"/>
      <c r="I93" s="762"/>
      <c r="J93" s="762"/>
      <c r="K93" s="762"/>
      <c r="L93" s="762"/>
      <c r="M93" s="800">
        <f aca="true" t="shared" si="17" ref="M93:M159">F93+L93</f>
        <v>50400</v>
      </c>
      <c r="N93" s="801">
        <f aca="true" t="shared" si="18" ref="N93:N159">E93-M93</f>
        <v>0</v>
      </c>
    </row>
    <row r="94" spans="1:14" s="771" customFormat="1" ht="14.25" hidden="1">
      <c r="A94" s="742"/>
      <c r="B94" s="741"/>
      <c r="C94" s="742" t="s">
        <v>402</v>
      </c>
      <c r="D94" s="743" t="s">
        <v>292</v>
      </c>
      <c r="E94" s="762">
        <v>2000</v>
      </c>
      <c r="F94" s="762">
        <v>2000</v>
      </c>
      <c r="G94" s="762"/>
      <c r="H94" s="762"/>
      <c r="I94" s="762"/>
      <c r="J94" s="762"/>
      <c r="K94" s="762"/>
      <c r="L94" s="762"/>
      <c r="M94" s="800">
        <f t="shared" si="17"/>
        <v>2000</v>
      </c>
      <c r="N94" s="801">
        <f t="shared" si="18"/>
        <v>0</v>
      </c>
    </row>
    <row r="95" spans="1:14" s="771" customFormat="1" ht="14.25" hidden="1">
      <c r="A95" s="742"/>
      <c r="B95" s="741"/>
      <c r="C95" s="742" t="s">
        <v>379</v>
      </c>
      <c r="D95" s="743" t="s">
        <v>293</v>
      </c>
      <c r="E95" s="762">
        <v>1000</v>
      </c>
      <c r="F95" s="762">
        <v>1000</v>
      </c>
      <c r="G95" s="762"/>
      <c r="H95" s="762"/>
      <c r="I95" s="762"/>
      <c r="J95" s="762"/>
      <c r="K95" s="762"/>
      <c r="L95" s="762"/>
      <c r="M95" s="800">
        <f t="shared" si="17"/>
        <v>1000</v>
      </c>
      <c r="N95" s="801">
        <f t="shared" si="18"/>
        <v>0</v>
      </c>
    </row>
    <row r="96" spans="1:14" s="771" customFormat="1" ht="14.25" hidden="1">
      <c r="A96" s="742"/>
      <c r="B96" s="741"/>
      <c r="C96" s="742" t="s">
        <v>378</v>
      </c>
      <c r="D96" s="743" t="s">
        <v>294</v>
      </c>
      <c r="E96" s="762">
        <v>1000</v>
      </c>
      <c r="F96" s="762">
        <v>1000</v>
      </c>
      <c r="G96" s="762"/>
      <c r="H96" s="762"/>
      <c r="I96" s="762"/>
      <c r="J96" s="762"/>
      <c r="K96" s="762"/>
      <c r="L96" s="762"/>
      <c r="M96" s="800">
        <f t="shared" si="17"/>
        <v>1000</v>
      </c>
      <c r="N96" s="801">
        <f t="shared" si="18"/>
        <v>0</v>
      </c>
    </row>
    <row r="97" spans="1:14" s="771" customFormat="1" ht="14.25" hidden="1">
      <c r="A97" s="742"/>
      <c r="B97" s="741"/>
      <c r="C97" s="742" t="s">
        <v>535</v>
      </c>
      <c r="D97" s="743" t="s">
        <v>295</v>
      </c>
      <c r="E97" s="762">
        <v>600</v>
      </c>
      <c r="F97" s="762">
        <v>600</v>
      </c>
      <c r="G97" s="762"/>
      <c r="H97" s="762"/>
      <c r="I97" s="762"/>
      <c r="J97" s="762"/>
      <c r="K97" s="762"/>
      <c r="L97" s="762"/>
      <c r="M97" s="800">
        <f t="shared" si="17"/>
        <v>600</v>
      </c>
      <c r="N97" s="801">
        <f t="shared" si="18"/>
        <v>0</v>
      </c>
    </row>
    <row r="98" spans="1:14" s="771" customFormat="1" ht="14.25" hidden="1">
      <c r="A98" s="742"/>
      <c r="B98" s="741"/>
      <c r="C98" s="742" t="s">
        <v>538</v>
      </c>
      <c r="D98" s="743" t="s">
        <v>663</v>
      </c>
      <c r="E98" s="762">
        <v>2000</v>
      </c>
      <c r="F98" s="762">
        <v>2000</v>
      </c>
      <c r="G98" s="762"/>
      <c r="H98" s="762"/>
      <c r="I98" s="762"/>
      <c r="J98" s="762"/>
      <c r="K98" s="762"/>
      <c r="L98" s="762"/>
      <c r="M98" s="800">
        <f t="shared" si="17"/>
        <v>2000</v>
      </c>
      <c r="N98" s="801">
        <f t="shared" si="18"/>
        <v>0</v>
      </c>
    </row>
    <row r="99" spans="1:14" s="771" customFormat="1" ht="14.25" hidden="1">
      <c r="A99" s="742"/>
      <c r="B99" s="741"/>
      <c r="C99" s="742" t="s">
        <v>540</v>
      </c>
      <c r="D99" s="743" t="s">
        <v>665</v>
      </c>
      <c r="E99" s="762">
        <v>500</v>
      </c>
      <c r="F99" s="762">
        <v>500</v>
      </c>
      <c r="G99" s="762"/>
      <c r="H99" s="762"/>
      <c r="I99" s="762"/>
      <c r="J99" s="762"/>
      <c r="K99" s="762"/>
      <c r="L99" s="762"/>
      <c r="M99" s="800">
        <f t="shared" si="17"/>
        <v>500</v>
      </c>
      <c r="N99" s="801">
        <f t="shared" si="18"/>
        <v>0</v>
      </c>
    </row>
    <row r="100" spans="1:14" s="771" customFormat="1" ht="14.25" hidden="1">
      <c r="A100" s="742"/>
      <c r="B100" s="741"/>
      <c r="C100" s="742" t="s">
        <v>544</v>
      </c>
      <c r="D100" s="743" t="s">
        <v>296</v>
      </c>
      <c r="E100" s="762">
        <v>400</v>
      </c>
      <c r="F100" s="762">
        <v>400</v>
      </c>
      <c r="G100" s="762"/>
      <c r="H100" s="762"/>
      <c r="I100" s="762"/>
      <c r="J100" s="762"/>
      <c r="K100" s="762"/>
      <c r="L100" s="762"/>
      <c r="M100" s="800">
        <f t="shared" si="17"/>
        <v>400</v>
      </c>
      <c r="N100" s="801">
        <f t="shared" si="18"/>
        <v>0</v>
      </c>
    </row>
    <row r="101" spans="1:14" s="23" customFormat="1" ht="15">
      <c r="A101" s="175"/>
      <c r="B101" s="595" t="s">
        <v>430</v>
      </c>
      <c r="C101" s="175"/>
      <c r="D101" s="195" t="s">
        <v>431</v>
      </c>
      <c r="E101" s="184">
        <f>SUM(E102:E125)</f>
        <v>1639360</v>
      </c>
      <c r="F101" s="184">
        <f aca="true" t="shared" si="19" ref="F101:L101">SUM(F102:F125)</f>
        <v>1340860</v>
      </c>
      <c r="G101" s="184">
        <f t="shared" si="19"/>
        <v>910500</v>
      </c>
      <c r="H101" s="184">
        <f t="shared" si="19"/>
        <v>154900</v>
      </c>
      <c r="I101" s="184">
        <f t="shared" si="19"/>
        <v>0</v>
      </c>
      <c r="J101" s="184">
        <f t="shared" si="19"/>
        <v>0</v>
      </c>
      <c r="K101" s="184">
        <f t="shared" si="19"/>
        <v>0</v>
      </c>
      <c r="L101" s="184">
        <f t="shared" si="19"/>
        <v>298500</v>
      </c>
      <c r="M101" s="266">
        <f t="shared" si="17"/>
        <v>1639360</v>
      </c>
      <c r="N101" s="265">
        <f t="shared" si="18"/>
        <v>0</v>
      </c>
    </row>
    <row r="102" spans="1:14" s="254" customFormat="1" ht="15" hidden="1">
      <c r="A102" s="249"/>
      <c r="B102" s="741"/>
      <c r="C102" s="742" t="s">
        <v>432</v>
      </c>
      <c r="D102" s="743" t="s">
        <v>433</v>
      </c>
      <c r="E102" s="725">
        <v>1500</v>
      </c>
      <c r="F102" s="725">
        <v>1500</v>
      </c>
      <c r="G102" s="725"/>
      <c r="H102" s="725"/>
      <c r="I102" s="725"/>
      <c r="J102" s="725"/>
      <c r="K102" s="725"/>
      <c r="L102" s="725"/>
      <c r="M102" s="267">
        <f t="shared" si="17"/>
        <v>1500</v>
      </c>
      <c r="N102" s="268">
        <f t="shared" si="18"/>
        <v>0</v>
      </c>
    </row>
    <row r="103" spans="1:14" s="254" customFormat="1" ht="15" hidden="1">
      <c r="A103" s="249"/>
      <c r="B103" s="741"/>
      <c r="C103" s="742" t="s">
        <v>434</v>
      </c>
      <c r="D103" s="743" t="s">
        <v>435</v>
      </c>
      <c r="E103" s="725">
        <v>841000</v>
      </c>
      <c r="F103" s="725">
        <v>841000</v>
      </c>
      <c r="G103" s="725">
        <v>841000</v>
      </c>
      <c r="H103" s="725"/>
      <c r="I103" s="725"/>
      <c r="J103" s="725"/>
      <c r="K103" s="725"/>
      <c r="L103" s="725"/>
      <c r="M103" s="267">
        <f t="shared" si="17"/>
        <v>841000</v>
      </c>
      <c r="N103" s="268">
        <f t="shared" si="18"/>
        <v>0</v>
      </c>
    </row>
    <row r="104" spans="1:14" s="254" customFormat="1" ht="15" hidden="1">
      <c r="A104" s="249"/>
      <c r="B104" s="741"/>
      <c r="C104" s="742" t="s">
        <v>436</v>
      </c>
      <c r="D104" s="743" t="s">
        <v>437</v>
      </c>
      <c r="E104" s="725">
        <v>60800</v>
      </c>
      <c r="F104" s="725">
        <v>60800</v>
      </c>
      <c r="G104" s="725">
        <v>60800</v>
      </c>
      <c r="H104" s="725"/>
      <c r="I104" s="725"/>
      <c r="J104" s="725"/>
      <c r="K104" s="725"/>
      <c r="L104" s="725"/>
      <c r="M104" s="267">
        <f t="shared" si="17"/>
        <v>60800</v>
      </c>
      <c r="N104" s="268">
        <f t="shared" si="18"/>
        <v>0</v>
      </c>
    </row>
    <row r="105" spans="1:14" s="254" customFormat="1" ht="15" hidden="1">
      <c r="A105" s="249"/>
      <c r="B105" s="741"/>
      <c r="C105" s="742" t="s">
        <v>438</v>
      </c>
      <c r="D105" s="743" t="s">
        <v>439</v>
      </c>
      <c r="E105" s="725">
        <v>134300</v>
      </c>
      <c r="F105" s="725">
        <v>134300</v>
      </c>
      <c r="G105" s="725"/>
      <c r="H105" s="725">
        <v>134300</v>
      </c>
      <c r="I105" s="725"/>
      <c r="J105" s="725"/>
      <c r="K105" s="725"/>
      <c r="L105" s="725"/>
      <c r="M105" s="267">
        <f t="shared" si="17"/>
        <v>134300</v>
      </c>
      <c r="N105" s="268">
        <f t="shared" si="18"/>
        <v>0</v>
      </c>
    </row>
    <row r="106" spans="1:14" s="254" customFormat="1" ht="15" hidden="1">
      <c r="A106" s="249"/>
      <c r="B106" s="741"/>
      <c r="C106" s="742" t="s">
        <v>440</v>
      </c>
      <c r="D106" s="743" t="s">
        <v>441</v>
      </c>
      <c r="E106" s="725">
        <v>20600</v>
      </c>
      <c r="F106" s="725">
        <v>20600</v>
      </c>
      <c r="G106" s="725"/>
      <c r="H106" s="725">
        <v>20600</v>
      </c>
      <c r="I106" s="725"/>
      <c r="J106" s="725"/>
      <c r="K106" s="725"/>
      <c r="L106" s="725"/>
      <c r="M106" s="267">
        <f t="shared" si="17"/>
        <v>20600</v>
      </c>
      <c r="N106" s="268">
        <f t="shared" si="18"/>
        <v>0</v>
      </c>
    </row>
    <row r="107" spans="1:14" s="254" customFormat="1" ht="15" hidden="1">
      <c r="A107" s="249"/>
      <c r="B107" s="741"/>
      <c r="C107" s="742" t="s">
        <v>442</v>
      </c>
      <c r="D107" s="743" t="s">
        <v>528</v>
      </c>
      <c r="E107" s="725">
        <v>8700</v>
      </c>
      <c r="F107" s="725">
        <v>8700</v>
      </c>
      <c r="G107" s="725">
        <v>8700</v>
      </c>
      <c r="H107" s="725"/>
      <c r="I107" s="725"/>
      <c r="J107" s="725"/>
      <c r="K107" s="725"/>
      <c r="L107" s="725"/>
      <c r="M107" s="267">
        <f t="shared" si="17"/>
        <v>8700</v>
      </c>
      <c r="N107" s="268">
        <f t="shared" si="18"/>
        <v>0</v>
      </c>
    </row>
    <row r="108" spans="1:14" s="254" customFormat="1" ht="15" hidden="1">
      <c r="A108" s="249"/>
      <c r="B108" s="741"/>
      <c r="C108" s="742" t="s">
        <v>402</v>
      </c>
      <c r="D108" s="743" t="s">
        <v>529</v>
      </c>
      <c r="E108" s="725">
        <v>47300</v>
      </c>
      <c r="F108" s="725">
        <v>47300</v>
      </c>
      <c r="G108" s="725"/>
      <c r="H108" s="725"/>
      <c r="I108" s="725"/>
      <c r="J108" s="725"/>
      <c r="K108" s="725"/>
      <c r="L108" s="725"/>
      <c r="M108" s="267">
        <f t="shared" si="17"/>
        <v>47300</v>
      </c>
      <c r="N108" s="268">
        <f t="shared" si="18"/>
        <v>0</v>
      </c>
    </row>
    <row r="109" spans="1:14" s="254" customFormat="1" ht="15" hidden="1">
      <c r="A109" s="249"/>
      <c r="B109" s="741"/>
      <c r="C109" s="742" t="s">
        <v>408</v>
      </c>
      <c r="D109" s="743" t="s">
        <v>530</v>
      </c>
      <c r="E109" s="725">
        <v>9000</v>
      </c>
      <c r="F109" s="725">
        <v>9000</v>
      </c>
      <c r="G109" s="725"/>
      <c r="H109" s="725"/>
      <c r="I109" s="725"/>
      <c r="J109" s="725"/>
      <c r="K109" s="725"/>
      <c r="L109" s="725"/>
      <c r="M109" s="267">
        <f t="shared" si="17"/>
        <v>9000</v>
      </c>
      <c r="N109" s="268">
        <f t="shared" si="18"/>
        <v>0</v>
      </c>
    </row>
    <row r="110" spans="1:14" s="254" customFormat="1" ht="15" hidden="1">
      <c r="A110" s="249"/>
      <c r="B110" s="741"/>
      <c r="C110" s="742" t="s">
        <v>379</v>
      </c>
      <c r="D110" s="743" t="s">
        <v>385</v>
      </c>
      <c r="E110" s="725">
        <v>5000</v>
      </c>
      <c r="F110" s="725">
        <v>5000</v>
      </c>
      <c r="G110" s="725"/>
      <c r="H110" s="725"/>
      <c r="I110" s="725"/>
      <c r="J110" s="725"/>
      <c r="K110" s="725"/>
      <c r="L110" s="725"/>
      <c r="M110" s="267">
        <f t="shared" si="17"/>
        <v>5000</v>
      </c>
      <c r="N110" s="268">
        <f t="shared" si="18"/>
        <v>0</v>
      </c>
    </row>
    <row r="111" spans="1:14" s="254" customFormat="1" ht="15" hidden="1">
      <c r="A111" s="249"/>
      <c r="B111" s="741"/>
      <c r="C111" s="742" t="s">
        <v>531</v>
      </c>
      <c r="D111" s="743" t="s">
        <v>532</v>
      </c>
      <c r="E111" s="725">
        <v>500</v>
      </c>
      <c r="F111" s="725">
        <v>500</v>
      </c>
      <c r="G111" s="725"/>
      <c r="H111" s="725"/>
      <c r="I111" s="725"/>
      <c r="J111" s="725"/>
      <c r="K111" s="725"/>
      <c r="L111" s="725"/>
      <c r="M111" s="267">
        <f t="shared" si="17"/>
        <v>500</v>
      </c>
      <c r="N111" s="268">
        <f t="shared" si="18"/>
        <v>0</v>
      </c>
    </row>
    <row r="112" spans="1:14" s="254" customFormat="1" ht="15" hidden="1">
      <c r="A112" s="249"/>
      <c r="B112" s="741"/>
      <c r="C112" s="742" t="s">
        <v>378</v>
      </c>
      <c r="D112" s="743" t="s">
        <v>394</v>
      </c>
      <c r="E112" s="725">
        <v>65000</v>
      </c>
      <c r="F112" s="725">
        <v>65000</v>
      </c>
      <c r="G112" s="725"/>
      <c r="H112" s="725"/>
      <c r="I112" s="725"/>
      <c r="J112" s="725"/>
      <c r="K112" s="725"/>
      <c r="L112" s="725"/>
      <c r="M112" s="267">
        <f t="shared" si="17"/>
        <v>65000</v>
      </c>
      <c r="N112" s="268">
        <f t="shared" si="18"/>
        <v>0</v>
      </c>
    </row>
    <row r="113" spans="1:14" s="254" customFormat="1" ht="15" hidden="1">
      <c r="A113" s="249"/>
      <c r="B113" s="741"/>
      <c r="C113" s="742" t="s">
        <v>533</v>
      </c>
      <c r="D113" s="743" t="s">
        <v>534</v>
      </c>
      <c r="E113" s="725">
        <v>4000</v>
      </c>
      <c r="F113" s="725">
        <v>4000</v>
      </c>
      <c r="G113" s="725"/>
      <c r="H113" s="725"/>
      <c r="I113" s="725"/>
      <c r="J113" s="725"/>
      <c r="K113" s="725"/>
      <c r="L113" s="725"/>
      <c r="M113" s="267">
        <f t="shared" si="17"/>
        <v>4000</v>
      </c>
      <c r="N113" s="268">
        <f t="shared" si="18"/>
        <v>0</v>
      </c>
    </row>
    <row r="114" spans="1:14" s="254" customFormat="1" ht="15" hidden="1">
      <c r="A114" s="249"/>
      <c r="B114" s="741"/>
      <c r="C114" s="742" t="s">
        <v>580</v>
      </c>
      <c r="D114" s="743" t="s">
        <v>807</v>
      </c>
      <c r="E114" s="725">
        <v>2160</v>
      </c>
      <c r="F114" s="725">
        <v>2160</v>
      </c>
      <c r="G114" s="725"/>
      <c r="H114" s="725"/>
      <c r="I114" s="725"/>
      <c r="J114" s="725"/>
      <c r="K114" s="725"/>
      <c r="L114" s="725"/>
      <c r="M114" s="267">
        <f t="shared" si="17"/>
        <v>2160</v>
      </c>
      <c r="N114" s="268">
        <f t="shared" si="18"/>
        <v>0</v>
      </c>
    </row>
    <row r="115" spans="1:14" s="254" customFormat="1" ht="25.5" hidden="1">
      <c r="A115" s="249"/>
      <c r="B115" s="741"/>
      <c r="C115" s="742" t="s">
        <v>535</v>
      </c>
      <c r="D115" s="743" t="s">
        <v>536</v>
      </c>
      <c r="E115" s="725">
        <v>16000</v>
      </c>
      <c r="F115" s="725">
        <v>16000</v>
      </c>
      <c r="G115" s="725"/>
      <c r="H115" s="725"/>
      <c r="I115" s="725"/>
      <c r="J115" s="725"/>
      <c r="K115" s="725"/>
      <c r="L115" s="725"/>
      <c r="M115" s="267">
        <f t="shared" si="17"/>
        <v>16000</v>
      </c>
      <c r="N115" s="268">
        <f t="shared" si="18"/>
        <v>0</v>
      </c>
    </row>
    <row r="116" spans="1:14" s="254" customFormat="1" ht="15" hidden="1">
      <c r="A116" s="249"/>
      <c r="B116" s="741"/>
      <c r="C116" s="742" t="s">
        <v>415</v>
      </c>
      <c r="D116" s="743" t="s">
        <v>745</v>
      </c>
      <c r="E116" s="725">
        <v>23000</v>
      </c>
      <c r="F116" s="725">
        <v>23000</v>
      </c>
      <c r="G116" s="725"/>
      <c r="H116" s="725"/>
      <c r="I116" s="725"/>
      <c r="J116" s="725"/>
      <c r="K116" s="725"/>
      <c r="L116" s="725"/>
      <c r="M116" s="267">
        <f t="shared" si="17"/>
        <v>23000</v>
      </c>
      <c r="N116" s="268">
        <f t="shared" si="18"/>
        <v>0</v>
      </c>
    </row>
    <row r="117" spans="1:14" s="254" customFormat="1" ht="15" hidden="1">
      <c r="A117" s="249"/>
      <c r="B117" s="741"/>
      <c r="C117" s="742" t="s">
        <v>538</v>
      </c>
      <c r="D117" s="743" t="s">
        <v>539</v>
      </c>
      <c r="E117" s="725">
        <v>25000</v>
      </c>
      <c r="F117" s="725">
        <v>25000</v>
      </c>
      <c r="G117" s="725"/>
      <c r="H117" s="725"/>
      <c r="I117" s="725"/>
      <c r="J117" s="725"/>
      <c r="K117" s="725"/>
      <c r="L117" s="725"/>
      <c r="M117" s="267">
        <f t="shared" si="17"/>
        <v>25000</v>
      </c>
      <c r="N117" s="268">
        <f t="shared" si="18"/>
        <v>0</v>
      </c>
    </row>
    <row r="118" spans="1:14" s="254" customFormat="1" ht="15" hidden="1">
      <c r="A118" s="249"/>
      <c r="B118" s="741"/>
      <c r="C118" s="742" t="s">
        <v>540</v>
      </c>
      <c r="D118" s="743" t="s">
        <v>541</v>
      </c>
      <c r="E118" s="725">
        <v>2000</v>
      </c>
      <c r="F118" s="725">
        <v>2000</v>
      </c>
      <c r="G118" s="725"/>
      <c r="H118" s="725"/>
      <c r="I118" s="725"/>
      <c r="J118" s="725"/>
      <c r="K118" s="725"/>
      <c r="L118" s="725"/>
      <c r="M118" s="267">
        <f t="shared" si="17"/>
        <v>2000</v>
      </c>
      <c r="N118" s="268">
        <f t="shared" si="18"/>
        <v>0</v>
      </c>
    </row>
    <row r="119" spans="1:14" s="254" customFormat="1" ht="25.5" hidden="1">
      <c r="A119" s="249"/>
      <c r="B119" s="741"/>
      <c r="C119" s="742" t="s">
        <v>542</v>
      </c>
      <c r="D119" s="743" t="s">
        <v>543</v>
      </c>
      <c r="E119" s="725">
        <v>21000</v>
      </c>
      <c r="F119" s="725">
        <v>21000</v>
      </c>
      <c r="G119" s="725"/>
      <c r="H119" s="725"/>
      <c r="I119" s="725"/>
      <c r="J119" s="725"/>
      <c r="K119" s="725"/>
      <c r="L119" s="725"/>
      <c r="M119" s="267">
        <f t="shared" si="17"/>
        <v>21000</v>
      </c>
      <c r="N119" s="268">
        <f t="shared" si="18"/>
        <v>0</v>
      </c>
    </row>
    <row r="120" spans="1:14" s="254" customFormat="1" ht="15" hidden="1">
      <c r="A120" s="249"/>
      <c r="B120" s="741"/>
      <c r="C120" s="742" t="s">
        <v>746</v>
      </c>
      <c r="D120" s="743" t="s">
        <v>747</v>
      </c>
      <c r="E120" s="725">
        <v>11000</v>
      </c>
      <c r="F120" s="725">
        <v>11000</v>
      </c>
      <c r="G120" s="725"/>
      <c r="H120" s="725"/>
      <c r="I120" s="725"/>
      <c r="J120" s="725"/>
      <c r="K120" s="725"/>
      <c r="L120" s="725"/>
      <c r="M120" s="267">
        <f t="shared" si="17"/>
        <v>11000</v>
      </c>
      <c r="N120" s="268">
        <f t="shared" si="18"/>
        <v>0</v>
      </c>
    </row>
    <row r="121" spans="1:14" s="254" customFormat="1" ht="25.5" hidden="1">
      <c r="A121" s="249"/>
      <c r="B121" s="741"/>
      <c r="C121" s="742" t="s">
        <v>544</v>
      </c>
      <c r="D121" s="743" t="s">
        <v>545</v>
      </c>
      <c r="E121" s="725">
        <v>5000</v>
      </c>
      <c r="F121" s="725">
        <v>5000</v>
      </c>
      <c r="G121" s="725"/>
      <c r="H121" s="725"/>
      <c r="I121" s="725"/>
      <c r="J121" s="725"/>
      <c r="K121" s="725"/>
      <c r="L121" s="725"/>
      <c r="M121" s="267">
        <f t="shared" si="17"/>
        <v>5000</v>
      </c>
      <c r="N121" s="268">
        <f t="shared" si="18"/>
        <v>0</v>
      </c>
    </row>
    <row r="122" spans="1:14" s="254" customFormat="1" ht="25.5" hidden="1">
      <c r="A122" s="249"/>
      <c r="B122" s="741"/>
      <c r="C122" s="826" t="s">
        <v>546</v>
      </c>
      <c r="D122" s="827" t="s">
        <v>547</v>
      </c>
      <c r="E122" s="822">
        <v>38000</v>
      </c>
      <c r="F122" s="822">
        <v>38000</v>
      </c>
      <c r="G122" s="725"/>
      <c r="H122" s="725"/>
      <c r="I122" s="725"/>
      <c r="J122" s="725"/>
      <c r="K122" s="725"/>
      <c r="L122" s="725"/>
      <c r="M122" s="267">
        <f t="shared" si="17"/>
        <v>38000</v>
      </c>
      <c r="N122" s="268">
        <f t="shared" si="18"/>
        <v>0</v>
      </c>
    </row>
    <row r="123" spans="1:14" s="254" customFormat="1" ht="15" hidden="1">
      <c r="A123" s="249"/>
      <c r="B123" s="839" t="s">
        <v>792</v>
      </c>
      <c r="C123" s="742" t="s">
        <v>386</v>
      </c>
      <c r="D123" s="743" t="s">
        <v>473</v>
      </c>
      <c r="E123" s="725">
        <v>298500</v>
      </c>
      <c r="F123" s="725"/>
      <c r="G123" s="725"/>
      <c r="H123" s="725"/>
      <c r="I123" s="725"/>
      <c r="J123" s="725"/>
      <c r="K123" s="725"/>
      <c r="L123" s="725">
        <v>298500</v>
      </c>
      <c r="M123" s="267"/>
      <c r="N123" s="268"/>
    </row>
    <row r="124" spans="1:14" s="254" customFormat="1" ht="15" hidden="1">
      <c r="A124" s="249"/>
      <c r="B124" s="741"/>
      <c r="C124" s="742"/>
      <c r="D124" s="743"/>
      <c r="E124" s="725"/>
      <c r="F124" s="725"/>
      <c r="G124" s="725"/>
      <c r="H124" s="725"/>
      <c r="I124" s="725"/>
      <c r="J124" s="725"/>
      <c r="K124" s="725"/>
      <c r="L124" s="725"/>
      <c r="M124" s="267">
        <f t="shared" si="17"/>
        <v>0</v>
      </c>
      <c r="N124" s="268">
        <f t="shared" si="18"/>
        <v>0</v>
      </c>
    </row>
    <row r="125" spans="1:14" s="254" customFormat="1" ht="15" hidden="1">
      <c r="A125" s="249"/>
      <c r="B125" s="726"/>
      <c r="C125" s="249"/>
      <c r="D125" s="727"/>
      <c r="E125" s="725"/>
      <c r="F125" s="725"/>
      <c r="G125" s="725"/>
      <c r="H125" s="725"/>
      <c r="I125" s="725"/>
      <c r="J125" s="725"/>
      <c r="K125" s="725"/>
      <c r="L125" s="725"/>
      <c r="M125" s="267">
        <f>F125+L125</f>
        <v>0</v>
      </c>
      <c r="N125" s="268">
        <f>E125-M125</f>
        <v>0</v>
      </c>
    </row>
    <row r="126" spans="1:14" s="23" customFormat="1" ht="15.75" thickBot="1">
      <c r="A126" s="175"/>
      <c r="B126" s="595" t="s">
        <v>549</v>
      </c>
      <c r="C126" s="175"/>
      <c r="D126" s="195" t="s">
        <v>178</v>
      </c>
      <c r="E126" s="184">
        <v>14800</v>
      </c>
      <c r="F126" s="184">
        <v>14800</v>
      </c>
      <c r="G126" s="184"/>
      <c r="H126" s="184"/>
      <c r="I126" s="184"/>
      <c r="J126" s="184"/>
      <c r="K126" s="184"/>
      <c r="L126" s="184"/>
      <c r="M126" s="266">
        <f t="shared" si="17"/>
        <v>14800</v>
      </c>
      <c r="N126" s="265">
        <f t="shared" si="18"/>
        <v>0</v>
      </c>
    </row>
    <row r="127" spans="1:14" s="321" customFormat="1" ht="45.75" thickBot="1">
      <c r="A127" s="554" t="s">
        <v>552</v>
      </c>
      <c r="B127" s="594"/>
      <c r="C127" s="554"/>
      <c r="D127" s="555" t="s">
        <v>216</v>
      </c>
      <c r="E127" s="556">
        <f>E128</f>
        <v>720</v>
      </c>
      <c r="F127" s="556">
        <f aca="true" t="shared" si="20" ref="F127:L127">F128</f>
        <v>720</v>
      </c>
      <c r="G127" s="556">
        <f t="shared" si="20"/>
        <v>613</v>
      </c>
      <c r="H127" s="556">
        <f t="shared" si="20"/>
        <v>107</v>
      </c>
      <c r="I127" s="556">
        <f t="shared" si="20"/>
        <v>0</v>
      </c>
      <c r="J127" s="556">
        <f t="shared" si="20"/>
        <v>0</v>
      </c>
      <c r="K127" s="556">
        <f t="shared" si="20"/>
        <v>0</v>
      </c>
      <c r="L127" s="556">
        <f t="shared" si="20"/>
        <v>0</v>
      </c>
      <c r="M127" s="266">
        <f t="shared" si="17"/>
        <v>720</v>
      </c>
      <c r="N127" s="265">
        <f t="shared" si="18"/>
        <v>0</v>
      </c>
    </row>
    <row r="128" spans="1:14" s="23" customFormat="1" ht="26.25" thickBot="1">
      <c r="A128" s="175"/>
      <c r="B128" s="595" t="s">
        <v>553</v>
      </c>
      <c r="C128" s="175"/>
      <c r="D128" s="195" t="s">
        <v>217</v>
      </c>
      <c r="E128" s="184">
        <v>720</v>
      </c>
      <c r="F128" s="184">
        <v>720</v>
      </c>
      <c r="G128" s="184">
        <v>613</v>
      </c>
      <c r="H128" s="184">
        <v>107</v>
      </c>
      <c r="I128" s="184"/>
      <c r="J128" s="184"/>
      <c r="K128" s="184"/>
      <c r="L128" s="184"/>
      <c r="M128" s="266">
        <f t="shared" si="17"/>
        <v>720</v>
      </c>
      <c r="N128" s="265">
        <f t="shared" si="18"/>
        <v>0</v>
      </c>
    </row>
    <row r="129" spans="1:14" s="321" customFormat="1" ht="30.75" thickBot="1">
      <c r="A129" s="554" t="s">
        <v>556</v>
      </c>
      <c r="B129" s="594"/>
      <c r="C129" s="554"/>
      <c r="D129" s="555" t="s">
        <v>339</v>
      </c>
      <c r="E129" s="556">
        <f>E130+E144+E143</f>
        <v>170400</v>
      </c>
      <c r="F129" s="556">
        <f aca="true" t="shared" si="21" ref="F129:L129">F130+F144+F143</f>
        <v>130400</v>
      </c>
      <c r="G129" s="556">
        <f t="shared" si="21"/>
        <v>25000</v>
      </c>
      <c r="H129" s="556">
        <f t="shared" si="21"/>
        <v>1200</v>
      </c>
      <c r="I129" s="556">
        <f t="shared" si="21"/>
        <v>0</v>
      </c>
      <c r="J129" s="556">
        <f t="shared" si="21"/>
        <v>0</v>
      </c>
      <c r="K129" s="556">
        <f t="shared" si="21"/>
        <v>0</v>
      </c>
      <c r="L129" s="556">
        <f t="shared" si="21"/>
        <v>40000</v>
      </c>
      <c r="M129" s="266">
        <f t="shared" si="17"/>
        <v>170400</v>
      </c>
      <c r="N129" s="265">
        <f t="shared" si="18"/>
        <v>0</v>
      </c>
    </row>
    <row r="130" spans="1:14" s="23" customFormat="1" ht="15">
      <c r="A130" s="175"/>
      <c r="B130" s="595" t="s">
        <v>559</v>
      </c>
      <c r="C130" s="175"/>
      <c r="D130" s="195" t="s">
        <v>340</v>
      </c>
      <c r="E130" s="184">
        <f>SUM(E131:E142)</f>
        <v>169700</v>
      </c>
      <c r="F130" s="184">
        <f aca="true" t="shared" si="22" ref="F130:L130">SUM(F131:F142)</f>
        <v>129700</v>
      </c>
      <c r="G130" s="184">
        <f t="shared" si="22"/>
        <v>25000</v>
      </c>
      <c r="H130" s="184">
        <f t="shared" si="22"/>
        <v>1200</v>
      </c>
      <c r="I130" s="184">
        <f t="shared" si="22"/>
        <v>0</v>
      </c>
      <c r="J130" s="184">
        <f t="shared" si="22"/>
        <v>0</v>
      </c>
      <c r="K130" s="184">
        <f t="shared" si="22"/>
        <v>0</v>
      </c>
      <c r="L130" s="184">
        <f t="shared" si="22"/>
        <v>40000</v>
      </c>
      <c r="M130" s="266">
        <f t="shared" si="17"/>
        <v>169700</v>
      </c>
      <c r="N130" s="265">
        <f t="shared" si="18"/>
        <v>0</v>
      </c>
    </row>
    <row r="131" spans="1:14" s="254" customFormat="1" ht="25.5" hidden="1">
      <c r="A131" s="249"/>
      <c r="B131" s="726"/>
      <c r="C131" s="249" t="s">
        <v>432</v>
      </c>
      <c r="D131" s="727" t="s">
        <v>560</v>
      </c>
      <c r="E131" s="725">
        <v>18000</v>
      </c>
      <c r="F131" s="725">
        <v>18000</v>
      </c>
      <c r="G131" s="725"/>
      <c r="H131" s="725"/>
      <c r="I131" s="725"/>
      <c r="J131" s="725"/>
      <c r="K131" s="725"/>
      <c r="L131" s="725"/>
      <c r="M131" s="267">
        <f t="shared" si="17"/>
        <v>18000</v>
      </c>
      <c r="N131" s="268">
        <f t="shared" si="18"/>
        <v>0</v>
      </c>
    </row>
    <row r="132" spans="1:14" s="254" customFormat="1" ht="15" hidden="1">
      <c r="A132" s="249"/>
      <c r="B132" s="726"/>
      <c r="C132" s="249" t="s">
        <v>438</v>
      </c>
      <c r="D132" s="727" t="s">
        <v>561</v>
      </c>
      <c r="E132" s="725">
        <v>1200</v>
      </c>
      <c r="F132" s="725">
        <v>1200</v>
      </c>
      <c r="G132" s="725"/>
      <c r="H132" s="725">
        <v>1200</v>
      </c>
      <c r="I132" s="725"/>
      <c r="J132" s="725"/>
      <c r="K132" s="725"/>
      <c r="L132" s="725"/>
      <c r="M132" s="267">
        <f t="shared" si="17"/>
        <v>1200</v>
      </c>
      <c r="N132" s="268">
        <f t="shared" si="18"/>
        <v>0</v>
      </c>
    </row>
    <row r="133" spans="1:14" s="254" customFormat="1" ht="15" hidden="1">
      <c r="A133" s="249"/>
      <c r="B133" s="726"/>
      <c r="C133" s="249" t="s">
        <v>442</v>
      </c>
      <c r="D133" s="727" t="s">
        <v>528</v>
      </c>
      <c r="E133" s="725">
        <v>25000</v>
      </c>
      <c r="F133" s="725">
        <v>25000</v>
      </c>
      <c r="G133" s="725">
        <v>25000</v>
      </c>
      <c r="H133" s="725"/>
      <c r="I133" s="725"/>
      <c r="J133" s="725"/>
      <c r="K133" s="725"/>
      <c r="L133" s="725"/>
      <c r="M133" s="267">
        <f t="shared" si="17"/>
        <v>25000</v>
      </c>
      <c r="N133" s="268">
        <f t="shared" si="18"/>
        <v>0</v>
      </c>
    </row>
    <row r="134" spans="1:14" s="254" customFormat="1" ht="15" hidden="1">
      <c r="A134" s="249"/>
      <c r="B134" s="726"/>
      <c r="C134" s="249" t="s">
        <v>402</v>
      </c>
      <c r="D134" s="727" t="s">
        <v>407</v>
      </c>
      <c r="E134" s="725">
        <v>30000</v>
      </c>
      <c r="F134" s="725">
        <v>30000</v>
      </c>
      <c r="G134" s="725"/>
      <c r="H134" s="725"/>
      <c r="I134" s="725"/>
      <c r="J134" s="725"/>
      <c r="K134" s="725"/>
      <c r="L134" s="725"/>
      <c r="M134" s="267">
        <f t="shared" si="17"/>
        <v>30000</v>
      </c>
      <c r="N134" s="268">
        <f t="shared" si="18"/>
        <v>0</v>
      </c>
    </row>
    <row r="135" spans="1:14" s="254" customFormat="1" ht="15" hidden="1">
      <c r="A135" s="249"/>
      <c r="B135" s="726"/>
      <c r="C135" s="249" t="s">
        <v>408</v>
      </c>
      <c r="D135" s="727" t="s">
        <v>562</v>
      </c>
      <c r="E135" s="725">
        <v>8000</v>
      </c>
      <c r="F135" s="725">
        <v>8000</v>
      </c>
      <c r="G135" s="725"/>
      <c r="H135" s="725"/>
      <c r="I135" s="725"/>
      <c r="J135" s="725"/>
      <c r="K135" s="725"/>
      <c r="L135" s="725"/>
      <c r="M135" s="267">
        <f t="shared" si="17"/>
        <v>8000</v>
      </c>
      <c r="N135" s="268">
        <f t="shared" si="18"/>
        <v>0</v>
      </c>
    </row>
    <row r="136" spans="1:14" s="254" customFormat="1" ht="15" hidden="1">
      <c r="A136" s="249"/>
      <c r="B136" s="726"/>
      <c r="C136" s="249" t="s">
        <v>379</v>
      </c>
      <c r="D136" s="727" t="s">
        <v>808</v>
      </c>
      <c r="E136" s="725">
        <v>15000</v>
      </c>
      <c r="F136" s="725">
        <v>15000</v>
      </c>
      <c r="G136" s="725"/>
      <c r="H136" s="725"/>
      <c r="I136" s="725"/>
      <c r="J136" s="725"/>
      <c r="K136" s="725"/>
      <c r="L136" s="725"/>
      <c r="M136" s="267">
        <f t="shared" si="17"/>
        <v>15000</v>
      </c>
      <c r="N136" s="268">
        <f t="shared" si="18"/>
        <v>0</v>
      </c>
    </row>
    <row r="137" spans="1:14" s="254" customFormat="1" ht="15" hidden="1">
      <c r="A137" s="249"/>
      <c r="B137" s="726"/>
      <c r="C137" s="249" t="s">
        <v>531</v>
      </c>
      <c r="D137" s="727" t="s">
        <v>532</v>
      </c>
      <c r="E137" s="725">
        <f>F137+L137</f>
        <v>0</v>
      </c>
      <c r="F137" s="725"/>
      <c r="G137" s="725"/>
      <c r="H137" s="725"/>
      <c r="I137" s="725"/>
      <c r="J137" s="725"/>
      <c r="K137" s="725"/>
      <c r="L137" s="725"/>
      <c r="M137" s="267">
        <f t="shared" si="17"/>
        <v>0</v>
      </c>
      <c r="N137" s="268">
        <f t="shared" si="18"/>
        <v>0</v>
      </c>
    </row>
    <row r="138" spans="1:14" s="254" customFormat="1" ht="15" hidden="1">
      <c r="A138" s="249"/>
      <c r="B138" s="726"/>
      <c r="C138" s="249" t="s">
        <v>378</v>
      </c>
      <c r="D138" s="727" t="s">
        <v>394</v>
      </c>
      <c r="E138" s="725">
        <v>24000</v>
      </c>
      <c r="F138" s="725">
        <v>24000</v>
      </c>
      <c r="G138" s="725"/>
      <c r="H138" s="725"/>
      <c r="I138" s="725"/>
      <c r="J138" s="725"/>
      <c r="K138" s="725"/>
      <c r="L138" s="725"/>
      <c r="M138" s="267">
        <f t="shared" si="17"/>
        <v>24000</v>
      </c>
      <c r="N138" s="268">
        <f t="shared" si="18"/>
        <v>0</v>
      </c>
    </row>
    <row r="139" spans="1:14" s="254" customFormat="1" ht="15" hidden="1">
      <c r="A139" s="249"/>
      <c r="B139" s="726"/>
      <c r="C139" s="249" t="s">
        <v>538</v>
      </c>
      <c r="D139" s="727" t="s">
        <v>539</v>
      </c>
      <c r="E139" s="725">
        <v>1000</v>
      </c>
      <c r="F139" s="725">
        <v>1000</v>
      </c>
      <c r="G139" s="725"/>
      <c r="H139" s="725"/>
      <c r="I139" s="725"/>
      <c r="J139" s="725"/>
      <c r="K139" s="725"/>
      <c r="L139" s="725"/>
      <c r="M139" s="267">
        <f t="shared" si="17"/>
        <v>1000</v>
      </c>
      <c r="N139" s="268">
        <f t="shared" si="18"/>
        <v>0</v>
      </c>
    </row>
    <row r="140" spans="1:14" s="254" customFormat="1" ht="15" hidden="1">
      <c r="A140" s="249"/>
      <c r="B140" s="726"/>
      <c r="C140" s="249" t="s">
        <v>540</v>
      </c>
      <c r="D140" s="727" t="s">
        <v>541</v>
      </c>
      <c r="E140" s="725">
        <v>500</v>
      </c>
      <c r="F140" s="725">
        <v>500</v>
      </c>
      <c r="G140" s="725"/>
      <c r="H140" s="725"/>
      <c r="I140" s="725"/>
      <c r="J140" s="725"/>
      <c r="K140" s="725"/>
      <c r="L140" s="725"/>
      <c r="M140" s="267">
        <f t="shared" si="17"/>
        <v>500</v>
      </c>
      <c r="N140" s="268">
        <f t="shared" si="18"/>
        <v>0</v>
      </c>
    </row>
    <row r="141" spans="1:14" s="254" customFormat="1" ht="15" hidden="1">
      <c r="A141" s="249"/>
      <c r="B141" s="726"/>
      <c r="C141" s="249" t="s">
        <v>550</v>
      </c>
      <c r="D141" s="727" t="s">
        <v>563</v>
      </c>
      <c r="E141" s="725">
        <v>7000</v>
      </c>
      <c r="F141" s="725">
        <v>7000</v>
      </c>
      <c r="G141" s="725"/>
      <c r="H141" s="725"/>
      <c r="I141" s="725"/>
      <c r="J141" s="725"/>
      <c r="K141" s="725"/>
      <c r="L141" s="725"/>
      <c r="M141" s="267">
        <f t="shared" si="17"/>
        <v>7000</v>
      </c>
      <c r="N141" s="268">
        <f t="shared" si="18"/>
        <v>0</v>
      </c>
    </row>
    <row r="142" spans="1:14" s="254" customFormat="1" ht="25.5" hidden="1">
      <c r="A142" s="249"/>
      <c r="B142" s="726"/>
      <c r="C142" s="249" t="s">
        <v>386</v>
      </c>
      <c r="D142" s="727" t="s">
        <v>387</v>
      </c>
      <c r="E142" s="725">
        <v>40000</v>
      </c>
      <c r="F142" s="725"/>
      <c r="G142" s="725"/>
      <c r="H142" s="725"/>
      <c r="I142" s="725"/>
      <c r="J142" s="725"/>
      <c r="K142" s="725"/>
      <c r="L142" s="725">
        <v>40000</v>
      </c>
      <c r="M142" s="267">
        <f t="shared" si="17"/>
        <v>40000</v>
      </c>
      <c r="N142" s="268">
        <f t="shared" si="18"/>
        <v>0</v>
      </c>
    </row>
    <row r="143" spans="1:14" s="23" customFormat="1" ht="15.75" thickBot="1">
      <c r="A143" s="175"/>
      <c r="B143" s="595" t="s">
        <v>571</v>
      </c>
      <c r="C143" s="175"/>
      <c r="D143" s="195" t="s">
        <v>572</v>
      </c>
      <c r="E143" s="184">
        <v>700</v>
      </c>
      <c r="F143" s="184">
        <v>700</v>
      </c>
      <c r="G143" s="184"/>
      <c r="H143" s="184"/>
      <c r="I143" s="184"/>
      <c r="J143" s="184"/>
      <c r="K143" s="184"/>
      <c r="L143" s="184"/>
      <c r="M143" s="266">
        <f>F143+L143</f>
        <v>700</v>
      </c>
      <c r="N143" s="265">
        <f>E143-M143</f>
        <v>0</v>
      </c>
    </row>
    <row r="144" spans="1:14" s="254" customFormat="1" ht="15" hidden="1">
      <c r="A144" s="249"/>
      <c r="B144" s="726" t="s">
        <v>573</v>
      </c>
      <c r="C144" s="249"/>
      <c r="D144" s="727" t="s">
        <v>178</v>
      </c>
      <c r="E144" s="725">
        <f>E145</f>
        <v>0</v>
      </c>
      <c r="F144" s="725">
        <f aca="true" t="shared" si="23" ref="F144:L144">F145</f>
        <v>0</v>
      </c>
      <c r="G144" s="725">
        <f t="shared" si="23"/>
        <v>0</v>
      </c>
      <c r="H144" s="725">
        <f t="shared" si="23"/>
        <v>0</v>
      </c>
      <c r="I144" s="725">
        <f t="shared" si="23"/>
        <v>0</v>
      </c>
      <c r="J144" s="725">
        <f t="shared" si="23"/>
        <v>0</v>
      </c>
      <c r="K144" s="725">
        <f t="shared" si="23"/>
        <v>0</v>
      </c>
      <c r="L144" s="725">
        <f t="shared" si="23"/>
        <v>0</v>
      </c>
      <c r="M144" s="267">
        <f>F144+L144</f>
        <v>0</v>
      </c>
      <c r="N144" s="268">
        <f>E144-M144</f>
        <v>0</v>
      </c>
    </row>
    <row r="145" spans="1:14" s="254" customFormat="1" ht="26.25" hidden="1" thickBot="1">
      <c r="A145" s="249"/>
      <c r="B145" s="726"/>
      <c r="C145" s="249" t="s">
        <v>386</v>
      </c>
      <c r="D145" s="727" t="s">
        <v>525</v>
      </c>
      <c r="E145" s="725">
        <v>0</v>
      </c>
      <c r="F145" s="725"/>
      <c r="G145" s="725"/>
      <c r="H145" s="725"/>
      <c r="I145" s="725"/>
      <c r="J145" s="725"/>
      <c r="K145" s="725"/>
      <c r="L145" s="725">
        <v>0</v>
      </c>
      <c r="M145" s="267">
        <f t="shared" si="17"/>
        <v>0</v>
      </c>
      <c r="N145" s="268">
        <f t="shared" si="18"/>
        <v>0</v>
      </c>
    </row>
    <row r="146" spans="1:14" s="321" customFormat="1" ht="64.5" customHeight="1" thickBot="1">
      <c r="A146" s="554" t="s">
        <v>574</v>
      </c>
      <c r="B146" s="594"/>
      <c r="C146" s="554"/>
      <c r="D146" s="555" t="s">
        <v>218</v>
      </c>
      <c r="E146" s="556">
        <f>E147</f>
        <v>29650</v>
      </c>
      <c r="F146" s="556">
        <f aca="true" t="shared" si="24" ref="F146:L146">F147</f>
        <v>29650</v>
      </c>
      <c r="G146" s="556">
        <f t="shared" si="24"/>
        <v>18500</v>
      </c>
      <c r="H146" s="556">
        <f t="shared" si="24"/>
        <v>250</v>
      </c>
      <c r="I146" s="556">
        <f t="shared" si="24"/>
        <v>0</v>
      </c>
      <c r="J146" s="556">
        <f t="shared" si="24"/>
        <v>0</v>
      </c>
      <c r="K146" s="556">
        <f t="shared" si="24"/>
        <v>0</v>
      </c>
      <c r="L146" s="556">
        <f t="shared" si="24"/>
        <v>0</v>
      </c>
      <c r="M146" s="266">
        <f t="shared" si="17"/>
        <v>29650</v>
      </c>
      <c r="N146" s="265">
        <f t="shared" si="18"/>
        <v>0</v>
      </c>
    </row>
    <row r="147" spans="1:14" s="23" customFormat="1" ht="26.25" thickBot="1">
      <c r="A147" s="175"/>
      <c r="B147" s="595" t="s">
        <v>575</v>
      </c>
      <c r="C147" s="175"/>
      <c r="D147" s="195" t="s">
        <v>576</v>
      </c>
      <c r="E147" s="184">
        <f>SUM(E148:E157)</f>
        <v>29650</v>
      </c>
      <c r="F147" s="184">
        <f aca="true" t="shared" si="25" ref="F147:L147">SUM(F148:F157)</f>
        <v>29650</v>
      </c>
      <c r="G147" s="184">
        <f t="shared" si="25"/>
        <v>18500</v>
      </c>
      <c r="H147" s="184">
        <f t="shared" si="25"/>
        <v>250</v>
      </c>
      <c r="I147" s="184">
        <f t="shared" si="25"/>
        <v>0</v>
      </c>
      <c r="J147" s="184">
        <f t="shared" si="25"/>
        <v>0</v>
      </c>
      <c r="K147" s="184">
        <f t="shared" si="25"/>
        <v>0</v>
      </c>
      <c r="L147" s="184">
        <f t="shared" si="25"/>
        <v>0</v>
      </c>
      <c r="M147" s="266">
        <f t="shared" si="17"/>
        <v>29650</v>
      </c>
      <c r="N147" s="265">
        <f t="shared" si="18"/>
        <v>0</v>
      </c>
    </row>
    <row r="148" spans="1:14" s="254" customFormat="1" ht="15" hidden="1">
      <c r="A148" s="733"/>
      <c r="B148" s="740"/>
      <c r="C148" s="733">
        <v>4100</v>
      </c>
      <c r="D148" s="733" t="s">
        <v>505</v>
      </c>
      <c r="E148" s="725">
        <v>18000</v>
      </c>
      <c r="F148" s="725">
        <v>18000</v>
      </c>
      <c r="G148" s="725">
        <v>18000</v>
      </c>
      <c r="H148" s="725"/>
      <c r="I148" s="725"/>
      <c r="J148" s="725"/>
      <c r="K148" s="725"/>
      <c r="L148" s="725"/>
      <c r="M148" s="267">
        <f t="shared" si="17"/>
        <v>18000</v>
      </c>
      <c r="N148" s="268">
        <f t="shared" si="18"/>
        <v>0</v>
      </c>
    </row>
    <row r="149" spans="1:14" s="254" customFormat="1" ht="15" hidden="1">
      <c r="A149" s="733"/>
      <c r="B149" s="740"/>
      <c r="C149" s="733">
        <v>4110</v>
      </c>
      <c r="D149" s="733" t="s">
        <v>269</v>
      </c>
      <c r="E149" s="725">
        <v>200</v>
      </c>
      <c r="F149" s="725">
        <v>200</v>
      </c>
      <c r="G149" s="725"/>
      <c r="H149" s="725">
        <v>200</v>
      </c>
      <c r="I149" s="725"/>
      <c r="J149" s="725"/>
      <c r="K149" s="725"/>
      <c r="L149" s="725"/>
      <c r="M149" s="267">
        <f t="shared" si="17"/>
        <v>200</v>
      </c>
      <c r="N149" s="268">
        <f t="shared" si="18"/>
        <v>0</v>
      </c>
    </row>
    <row r="150" spans="1:14" s="254" customFormat="1" ht="15" hidden="1">
      <c r="A150" s="733"/>
      <c r="B150" s="740"/>
      <c r="C150" s="733">
        <v>4120</v>
      </c>
      <c r="D150" s="733" t="s">
        <v>441</v>
      </c>
      <c r="E150" s="725">
        <v>50</v>
      </c>
      <c r="F150" s="725">
        <v>50</v>
      </c>
      <c r="G150" s="725"/>
      <c r="H150" s="725">
        <v>50</v>
      </c>
      <c r="I150" s="725"/>
      <c r="J150" s="725"/>
      <c r="K150" s="725"/>
      <c r="L150" s="725"/>
      <c r="M150" s="267">
        <f t="shared" si="17"/>
        <v>50</v>
      </c>
      <c r="N150" s="268">
        <f t="shared" si="18"/>
        <v>0</v>
      </c>
    </row>
    <row r="151" spans="1:14" s="254" customFormat="1" ht="15" hidden="1">
      <c r="A151" s="733"/>
      <c r="B151" s="740"/>
      <c r="C151" s="733">
        <v>4170</v>
      </c>
      <c r="D151" s="733" t="s">
        <v>270</v>
      </c>
      <c r="E151" s="725">
        <v>500</v>
      </c>
      <c r="F151" s="725">
        <v>500</v>
      </c>
      <c r="G151" s="725">
        <v>500</v>
      </c>
      <c r="H151" s="725"/>
      <c r="I151" s="725"/>
      <c r="J151" s="725"/>
      <c r="K151" s="725"/>
      <c r="L151" s="725"/>
      <c r="M151" s="267">
        <f t="shared" si="17"/>
        <v>500</v>
      </c>
      <c r="N151" s="268">
        <f t="shared" si="18"/>
        <v>0</v>
      </c>
    </row>
    <row r="152" spans="1:14" s="254" customFormat="1" ht="15" hidden="1">
      <c r="A152" s="733"/>
      <c r="B152" s="740"/>
      <c r="C152" s="733">
        <v>4210</v>
      </c>
      <c r="D152" s="733" t="s">
        <v>284</v>
      </c>
      <c r="E152" s="725">
        <v>1500</v>
      </c>
      <c r="F152" s="725">
        <v>1500</v>
      </c>
      <c r="G152" s="725"/>
      <c r="H152" s="725"/>
      <c r="I152" s="725"/>
      <c r="J152" s="725"/>
      <c r="K152" s="725"/>
      <c r="L152" s="725"/>
      <c r="M152" s="267">
        <f t="shared" si="17"/>
        <v>1500</v>
      </c>
      <c r="N152" s="268">
        <f t="shared" si="18"/>
        <v>0</v>
      </c>
    </row>
    <row r="153" spans="1:14" s="254" customFormat="1" ht="15" hidden="1">
      <c r="A153" s="733"/>
      <c r="B153" s="740"/>
      <c r="C153" s="733">
        <v>4300</v>
      </c>
      <c r="D153" s="733" t="s">
        <v>285</v>
      </c>
      <c r="E153" s="725">
        <v>6000</v>
      </c>
      <c r="F153" s="725">
        <v>6000</v>
      </c>
      <c r="G153" s="725"/>
      <c r="H153" s="725"/>
      <c r="I153" s="725"/>
      <c r="J153" s="725"/>
      <c r="K153" s="725"/>
      <c r="L153" s="725"/>
      <c r="M153" s="267">
        <f t="shared" si="17"/>
        <v>6000</v>
      </c>
      <c r="N153" s="268">
        <f t="shared" si="18"/>
        <v>0</v>
      </c>
    </row>
    <row r="154" spans="1:14" s="254" customFormat="1" ht="15" hidden="1">
      <c r="A154" s="733"/>
      <c r="B154" s="740"/>
      <c r="C154" s="733">
        <v>4370</v>
      </c>
      <c r="D154" s="733" t="s">
        <v>286</v>
      </c>
      <c r="E154" s="725">
        <v>1500</v>
      </c>
      <c r="F154" s="725">
        <v>1500</v>
      </c>
      <c r="G154" s="725"/>
      <c r="H154" s="725"/>
      <c r="I154" s="725"/>
      <c r="J154" s="725"/>
      <c r="K154" s="725"/>
      <c r="L154" s="725"/>
      <c r="M154" s="267">
        <f t="shared" si="17"/>
        <v>1500</v>
      </c>
      <c r="N154" s="268">
        <f t="shared" si="18"/>
        <v>0</v>
      </c>
    </row>
    <row r="155" spans="1:14" s="254" customFormat="1" ht="15" hidden="1">
      <c r="A155" s="733"/>
      <c r="B155" s="740"/>
      <c r="C155" s="733">
        <v>4740</v>
      </c>
      <c r="D155" s="733" t="s">
        <v>287</v>
      </c>
      <c r="E155" s="725">
        <v>400</v>
      </c>
      <c r="F155" s="725">
        <v>400</v>
      </c>
      <c r="G155" s="725"/>
      <c r="H155" s="725"/>
      <c r="I155" s="725"/>
      <c r="J155" s="725"/>
      <c r="K155" s="725"/>
      <c r="L155" s="725"/>
      <c r="M155" s="267">
        <f t="shared" si="17"/>
        <v>400</v>
      </c>
      <c r="N155" s="268">
        <f t="shared" si="18"/>
        <v>0</v>
      </c>
    </row>
    <row r="156" spans="1:14" s="254" customFormat="1" ht="15" hidden="1">
      <c r="A156" s="733"/>
      <c r="B156" s="740"/>
      <c r="C156" s="733">
        <v>4750</v>
      </c>
      <c r="D156" s="733" t="s">
        <v>288</v>
      </c>
      <c r="E156" s="725">
        <v>500</v>
      </c>
      <c r="F156" s="725">
        <v>500</v>
      </c>
      <c r="G156" s="725"/>
      <c r="H156" s="725"/>
      <c r="I156" s="725"/>
      <c r="J156" s="725"/>
      <c r="K156" s="725"/>
      <c r="L156" s="725"/>
      <c r="M156" s="267">
        <f t="shared" si="17"/>
        <v>500</v>
      </c>
      <c r="N156" s="268">
        <f t="shared" si="18"/>
        <v>0</v>
      </c>
    </row>
    <row r="157" spans="1:14" s="254" customFormat="1" ht="15.75" hidden="1" thickBot="1">
      <c r="A157" s="733"/>
      <c r="B157" s="740"/>
      <c r="C157" s="733">
        <v>4700</v>
      </c>
      <c r="D157" s="733" t="s">
        <v>289</v>
      </c>
      <c r="E157" s="725">
        <v>1000</v>
      </c>
      <c r="F157" s="725">
        <v>1000</v>
      </c>
      <c r="G157" s="725"/>
      <c r="H157" s="725"/>
      <c r="I157" s="725"/>
      <c r="J157" s="725"/>
      <c r="K157" s="725"/>
      <c r="L157" s="725"/>
      <c r="M157" s="267">
        <f t="shared" si="17"/>
        <v>1000</v>
      </c>
      <c r="N157" s="268">
        <f t="shared" si="18"/>
        <v>0</v>
      </c>
    </row>
    <row r="158" spans="1:14" s="557" customFormat="1" ht="17.25" customHeight="1" thickBot="1">
      <c r="A158" s="554" t="s">
        <v>582</v>
      </c>
      <c r="B158" s="594"/>
      <c r="C158" s="554"/>
      <c r="D158" s="555" t="s">
        <v>583</v>
      </c>
      <c r="E158" s="556">
        <f>E159</f>
        <v>140000</v>
      </c>
      <c r="F158" s="556">
        <f aca="true" t="shared" si="26" ref="F158:L158">F159</f>
        <v>140000</v>
      </c>
      <c r="G158" s="556">
        <f t="shared" si="26"/>
        <v>0</v>
      </c>
      <c r="H158" s="556">
        <f t="shared" si="26"/>
        <v>0</v>
      </c>
      <c r="I158" s="556">
        <f t="shared" si="26"/>
        <v>0</v>
      </c>
      <c r="J158" s="556">
        <f t="shared" si="26"/>
        <v>140000</v>
      </c>
      <c r="K158" s="556">
        <f t="shared" si="26"/>
        <v>0</v>
      </c>
      <c r="L158" s="556">
        <f t="shared" si="26"/>
        <v>0</v>
      </c>
      <c r="M158" s="538">
        <f t="shared" si="17"/>
        <v>140000</v>
      </c>
      <c r="N158" s="539">
        <f t="shared" si="18"/>
        <v>0</v>
      </c>
    </row>
    <row r="159" spans="1:14" s="417" customFormat="1" ht="29.25" customHeight="1" thickBot="1">
      <c r="A159" s="175"/>
      <c r="B159" s="595" t="s">
        <v>584</v>
      </c>
      <c r="C159" s="175"/>
      <c r="D159" s="195" t="s">
        <v>585</v>
      </c>
      <c r="E159" s="184">
        <v>140000</v>
      </c>
      <c r="F159" s="184">
        <v>140000</v>
      </c>
      <c r="G159" s="184"/>
      <c r="H159" s="184"/>
      <c r="I159" s="184"/>
      <c r="J159" s="184">
        <v>140000</v>
      </c>
      <c r="K159" s="184"/>
      <c r="L159" s="184"/>
      <c r="M159" s="538">
        <f t="shared" si="17"/>
        <v>140000</v>
      </c>
      <c r="N159" s="539">
        <f t="shared" si="18"/>
        <v>0</v>
      </c>
    </row>
    <row r="160" spans="1:14" s="321" customFormat="1" ht="15.75" thickBot="1">
      <c r="A160" s="554" t="s">
        <v>590</v>
      </c>
      <c r="B160" s="594"/>
      <c r="C160" s="554"/>
      <c r="D160" s="555" t="s">
        <v>258</v>
      </c>
      <c r="E160" s="556">
        <f>E161</f>
        <v>143075</v>
      </c>
      <c r="F160" s="556">
        <f>F161</f>
        <v>93075</v>
      </c>
      <c r="G160" s="556">
        <f aca="true" t="shared" si="27" ref="G160:L160">G161</f>
        <v>0</v>
      </c>
      <c r="H160" s="556">
        <f t="shared" si="27"/>
        <v>0</v>
      </c>
      <c r="I160" s="556">
        <f t="shared" si="27"/>
        <v>0</v>
      </c>
      <c r="J160" s="556">
        <f t="shared" si="27"/>
        <v>0</v>
      </c>
      <c r="K160" s="556">
        <f t="shared" si="27"/>
        <v>0</v>
      </c>
      <c r="L160" s="556">
        <f t="shared" si="27"/>
        <v>50000</v>
      </c>
      <c r="M160" s="266">
        <f aca="true" t="shared" si="28" ref="M160:M242">F160+L160</f>
        <v>143075</v>
      </c>
      <c r="N160" s="265">
        <f aca="true" t="shared" si="29" ref="N160:N242">E160-M160</f>
        <v>0</v>
      </c>
    </row>
    <row r="161" spans="1:14" s="23" customFormat="1" ht="15.75" thickBot="1">
      <c r="A161" s="175"/>
      <c r="B161" s="595" t="s">
        <v>591</v>
      </c>
      <c r="C161" s="175"/>
      <c r="D161" s="195" t="s">
        <v>592</v>
      </c>
      <c r="E161" s="184">
        <f>E162+E167</f>
        <v>143075</v>
      </c>
      <c r="F161" s="184">
        <f>F162+F167</f>
        <v>93075</v>
      </c>
      <c r="G161" s="184">
        <f aca="true" t="shared" si="30" ref="G161:L161">G162+G167</f>
        <v>0</v>
      </c>
      <c r="H161" s="184">
        <f t="shared" si="30"/>
        <v>0</v>
      </c>
      <c r="I161" s="184">
        <f t="shared" si="30"/>
        <v>0</v>
      </c>
      <c r="J161" s="184">
        <f t="shared" si="30"/>
        <v>0</v>
      </c>
      <c r="K161" s="184">
        <f t="shared" si="30"/>
        <v>0</v>
      </c>
      <c r="L161" s="184">
        <f t="shared" si="30"/>
        <v>50000</v>
      </c>
      <c r="M161" s="266">
        <f t="shared" si="28"/>
        <v>143075</v>
      </c>
      <c r="N161" s="265">
        <f t="shared" si="29"/>
        <v>0</v>
      </c>
    </row>
    <row r="162" spans="1:14" s="771" customFormat="1" ht="12.75" hidden="1">
      <c r="A162" s="742"/>
      <c r="B162" s="741"/>
      <c r="C162" s="742" t="s">
        <v>593</v>
      </c>
      <c r="D162" s="743" t="s">
        <v>594</v>
      </c>
      <c r="E162" s="762">
        <f>SUM(E163:E166)</f>
        <v>93075</v>
      </c>
      <c r="F162" s="762">
        <f>SUM(F163:F166)</f>
        <v>93075</v>
      </c>
      <c r="G162" s="762"/>
      <c r="H162" s="762"/>
      <c r="I162" s="762"/>
      <c r="J162" s="762"/>
      <c r="K162" s="762"/>
      <c r="L162" s="762"/>
      <c r="M162" s="769">
        <f t="shared" si="28"/>
        <v>93075</v>
      </c>
      <c r="N162" s="770">
        <f t="shared" si="29"/>
        <v>0</v>
      </c>
    </row>
    <row r="163" spans="1:14" s="771" customFormat="1" ht="25.5" hidden="1">
      <c r="A163" s="768"/>
      <c r="B163" s="760"/>
      <c r="C163" s="768"/>
      <c r="D163" s="761" t="s">
        <v>790</v>
      </c>
      <c r="E163" s="772">
        <v>50000</v>
      </c>
      <c r="F163" s="772">
        <v>50000</v>
      </c>
      <c r="G163" s="762"/>
      <c r="H163" s="762"/>
      <c r="I163" s="762"/>
      <c r="J163" s="762"/>
      <c r="K163" s="762"/>
      <c r="L163" s="762"/>
      <c r="M163" s="769">
        <f t="shared" si="28"/>
        <v>50000</v>
      </c>
      <c r="N163" s="770">
        <f t="shared" si="29"/>
        <v>0</v>
      </c>
    </row>
    <row r="164" spans="1:14" s="771" customFormat="1" ht="12.75" hidden="1">
      <c r="A164" s="768"/>
      <c r="B164" s="760"/>
      <c r="C164" s="768"/>
      <c r="D164" s="761" t="s">
        <v>754</v>
      </c>
      <c r="E164" s="772">
        <v>5000</v>
      </c>
      <c r="F164" s="772">
        <v>5000</v>
      </c>
      <c r="G164" s="762"/>
      <c r="H164" s="762"/>
      <c r="I164" s="762"/>
      <c r="J164" s="762"/>
      <c r="K164" s="762"/>
      <c r="L164" s="762"/>
      <c r="M164" s="769">
        <f t="shared" si="28"/>
        <v>5000</v>
      </c>
      <c r="N164" s="770">
        <f t="shared" si="29"/>
        <v>0</v>
      </c>
    </row>
    <row r="165" spans="1:14" s="771" customFormat="1" ht="12.75" hidden="1">
      <c r="A165" s="768"/>
      <c r="B165" s="760"/>
      <c r="C165" s="768"/>
      <c r="D165" s="761" t="s">
        <v>382</v>
      </c>
      <c r="E165" s="772">
        <f>9303-5670</f>
        <v>3633</v>
      </c>
      <c r="F165" s="772">
        <f>9303-5670</f>
        <v>3633</v>
      </c>
      <c r="G165" s="762"/>
      <c r="H165" s="762"/>
      <c r="I165" s="762"/>
      <c r="J165" s="762"/>
      <c r="K165" s="762"/>
      <c r="L165" s="762"/>
      <c r="M165" s="769">
        <f t="shared" si="28"/>
        <v>3633</v>
      </c>
      <c r="N165" s="770">
        <f t="shared" si="29"/>
        <v>0</v>
      </c>
    </row>
    <row r="166" spans="1:14" s="771" customFormat="1" ht="12.75" hidden="1">
      <c r="A166" s="768"/>
      <c r="B166" s="760"/>
      <c r="C166" s="768"/>
      <c r="D166" s="761" t="s">
        <v>383</v>
      </c>
      <c r="E166" s="772">
        <v>34442</v>
      </c>
      <c r="F166" s="772">
        <v>34442</v>
      </c>
      <c r="G166" s="762"/>
      <c r="H166" s="762"/>
      <c r="I166" s="762"/>
      <c r="J166" s="762"/>
      <c r="K166" s="762"/>
      <c r="L166" s="762"/>
      <c r="M166" s="769">
        <f t="shared" si="28"/>
        <v>34442</v>
      </c>
      <c r="N166" s="770">
        <f t="shared" si="29"/>
        <v>0</v>
      </c>
    </row>
    <row r="167" spans="1:14" s="771" customFormat="1" ht="15" customHeight="1" hidden="1" thickBot="1">
      <c r="A167" s="797"/>
      <c r="B167" s="798"/>
      <c r="C167" s="797" t="s">
        <v>595</v>
      </c>
      <c r="D167" s="799" t="s">
        <v>596</v>
      </c>
      <c r="E167" s="772">
        <f>F167+L167</f>
        <v>50000</v>
      </c>
      <c r="F167" s="772">
        <v>0</v>
      </c>
      <c r="G167" s="762"/>
      <c r="H167" s="762"/>
      <c r="I167" s="762"/>
      <c r="J167" s="762"/>
      <c r="K167" s="762"/>
      <c r="L167" s="762">
        <v>50000</v>
      </c>
      <c r="M167" s="769">
        <f t="shared" si="28"/>
        <v>50000</v>
      </c>
      <c r="N167" s="770">
        <f t="shared" si="29"/>
        <v>0</v>
      </c>
    </row>
    <row r="168" spans="1:14" s="321" customFormat="1" ht="15.75" thickBot="1">
      <c r="A168" s="554" t="s">
        <v>597</v>
      </c>
      <c r="B168" s="594"/>
      <c r="C168" s="554"/>
      <c r="D168" s="555" t="s">
        <v>263</v>
      </c>
      <c r="E168" s="556">
        <f>SUM(E169:E176)</f>
        <v>3328100</v>
      </c>
      <c r="F168" s="556">
        <f aca="true" t="shared" si="31" ref="F168:L168">SUM(F169:F176)</f>
        <v>3158000</v>
      </c>
      <c r="G168" s="556">
        <f t="shared" si="31"/>
        <v>1876500</v>
      </c>
      <c r="H168" s="556">
        <f t="shared" si="31"/>
        <v>377600</v>
      </c>
      <c r="I168" s="556">
        <f t="shared" si="31"/>
        <v>0</v>
      </c>
      <c r="J168" s="556">
        <f t="shared" si="31"/>
        <v>0</v>
      </c>
      <c r="K168" s="556">
        <f t="shared" si="31"/>
        <v>0</v>
      </c>
      <c r="L168" s="556">
        <f t="shared" si="31"/>
        <v>170100</v>
      </c>
      <c r="M168" s="266">
        <f t="shared" si="28"/>
        <v>3328100</v>
      </c>
      <c r="N168" s="265">
        <f t="shared" si="29"/>
        <v>0</v>
      </c>
    </row>
    <row r="169" spans="1:14" s="417" customFormat="1" ht="15">
      <c r="A169" s="175"/>
      <c r="B169" s="595" t="s">
        <v>598</v>
      </c>
      <c r="C169" s="175"/>
      <c r="D169" s="195" t="s">
        <v>264</v>
      </c>
      <c r="E169" s="184">
        <f>1730000+5000</f>
        <v>1735000</v>
      </c>
      <c r="F169" s="184">
        <f>1730000+5000</f>
        <v>1735000</v>
      </c>
      <c r="G169" s="184">
        <v>1132000</v>
      </c>
      <c r="H169" s="184">
        <v>228000</v>
      </c>
      <c r="I169" s="184"/>
      <c r="J169" s="184"/>
      <c r="K169" s="184"/>
      <c r="L169" s="1035"/>
      <c r="M169" s="538">
        <f t="shared" si="28"/>
        <v>1735000</v>
      </c>
      <c r="N169" s="539">
        <f t="shared" si="29"/>
        <v>0</v>
      </c>
    </row>
    <row r="170" spans="1:14" s="417" customFormat="1" ht="25.5">
      <c r="A170" s="1031"/>
      <c r="B170" s="595" t="s">
        <v>599</v>
      </c>
      <c r="C170" s="175"/>
      <c r="D170" s="195" t="s">
        <v>600</v>
      </c>
      <c r="E170" s="184">
        <v>101000</v>
      </c>
      <c r="F170" s="184">
        <v>101000</v>
      </c>
      <c r="G170" s="184">
        <v>66000</v>
      </c>
      <c r="H170" s="184">
        <v>14000</v>
      </c>
      <c r="I170" s="184"/>
      <c r="J170" s="184"/>
      <c r="K170" s="184"/>
      <c r="L170" s="184"/>
      <c r="M170" s="538">
        <f t="shared" si="28"/>
        <v>101000</v>
      </c>
      <c r="N170" s="539">
        <f t="shared" si="29"/>
        <v>0</v>
      </c>
    </row>
    <row r="171" spans="1:14" s="417" customFormat="1" ht="25.5">
      <c r="A171" s="1031" t="s">
        <v>274</v>
      </c>
      <c r="B171" s="595" t="s">
        <v>601</v>
      </c>
      <c r="C171" s="175"/>
      <c r="D171" s="195" t="s">
        <v>266</v>
      </c>
      <c r="E171" s="184">
        <f>96000+60100</f>
        <v>156100</v>
      </c>
      <c r="F171" s="184">
        <v>96000</v>
      </c>
      <c r="G171" s="184">
        <v>61000</v>
      </c>
      <c r="H171" s="184">
        <v>12000</v>
      </c>
      <c r="I171" s="184"/>
      <c r="J171" s="184"/>
      <c r="K171" s="184"/>
      <c r="L171" s="184">
        <v>60100</v>
      </c>
      <c r="M171" s="538">
        <f t="shared" si="28"/>
        <v>156100</v>
      </c>
      <c r="N171" s="539">
        <f t="shared" si="29"/>
        <v>0</v>
      </c>
    </row>
    <row r="172" spans="1:14" s="417" customFormat="1" ht="15">
      <c r="A172" s="1031"/>
      <c r="B172" s="595" t="s">
        <v>602</v>
      </c>
      <c r="C172" s="175"/>
      <c r="D172" s="195" t="s">
        <v>267</v>
      </c>
      <c r="E172" s="184">
        <v>846000</v>
      </c>
      <c r="F172" s="184">
        <v>846000</v>
      </c>
      <c r="G172" s="184">
        <v>557000</v>
      </c>
      <c r="H172" s="184">
        <v>112000</v>
      </c>
      <c r="I172" s="184"/>
      <c r="J172" s="184"/>
      <c r="K172" s="184"/>
      <c r="L172" s="184"/>
      <c r="M172" s="538">
        <f t="shared" si="28"/>
        <v>846000</v>
      </c>
      <c r="N172" s="539">
        <f t="shared" si="29"/>
        <v>0</v>
      </c>
    </row>
    <row r="173" spans="1:14" s="417" customFormat="1" ht="15">
      <c r="A173" s="1031"/>
      <c r="B173" s="595" t="s">
        <v>603</v>
      </c>
      <c r="C173" s="175"/>
      <c r="D173" s="195" t="s">
        <v>604</v>
      </c>
      <c r="E173" s="184">
        <f>52000+198000</f>
        <v>250000</v>
      </c>
      <c r="F173" s="184">
        <f>52000+198000</f>
        <v>250000</v>
      </c>
      <c r="G173" s="184">
        <v>42000</v>
      </c>
      <c r="H173" s="184">
        <v>8000</v>
      </c>
      <c r="I173" s="184"/>
      <c r="J173" s="184"/>
      <c r="K173" s="184"/>
      <c r="L173" s="184"/>
      <c r="M173" s="538">
        <f t="shared" si="28"/>
        <v>250000</v>
      </c>
      <c r="N173" s="539">
        <f t="shared" si="29"/>
        <v>0</v>
      </c>
    </row>
    <row r="174" spans="1:14" s="417" customFormat="1" ht="15">
      <c r="A174" s="1031"/>
      <c r="B174" s="595" t="s">
        <v>605</v>
      </c>
      <c r="C174" s="175"/>
      <c r="D174" s="195" t="s">
        <v>606</v>
      </c>
      <c r="E174" s="184">
        <v>15100</v>
      </c>
      <c r="F174" s="184">
        <v>15100</v>
      </c>
      <c r="G174" s="184"/>
      <c r="H174" s="184"/>
      <c r="I174" s="184"/>
      <c r="J174" s="184"/>
      <c r="K174" s="184"/>
      <c r="L174" s="184"/>
      <c r="M174" s="538">
        <f t="shared" si="28"/>
        <v>15100</v>
      </c>
      <c r="N174" s="539">
        <f t="shared" si="29"/>
        <v>0</v>
      </c>
    </row>
    <row r="175" spans="1:14" s="417" customFormat="1" ht="15">
      <c r="A175" s="1032"/>
      <c r="B175" s="650" t="s">
        <v>748</v>
      </c>
      <c r="C175" s="182"/>
      <c r="D175" s="183" t="s">
        <v>738</v>
      </c>
      <c r="E175" s="201">
        <v>69000</v>
      </c>
      <c r="F175" s="184">
        <v>69000</v>
      </c>
      <c r="G175" s="184">
        <v>18500</v>
      </c>
      <c r="H175" s="184">
        <v>3600</v>
      </c>
      <c r="I175" s="184"/>
      <c r="J175" s="184"/>
      <c r="K175" s="184"/>
      <c r="L175" s="184"/>
      <c r="M175" s="538">
        <f t="shared" si="28"/>
        <v>69000</v>
      </c>
      <c r="N175" s="539">
        <f t="shared" si="29"/>
        <v>0</v>
      </c>
    </row>
    <row r="176" spans="1:14" s="417" customFormat="1" ht="15.75" customHeight="1" thickBot="1">
      <c r="A176" s="1034" t="s">
        <v>274</v>
      </c>
      <c r="B176" s="651" t="s">
        <v>607</v>
      </c>
      <c r="C176" s="189"/>
      <c r="D176" s="200" t="s">
        <v>178</v>
      </c>
      <c r="E176" s="201">
        <f>33900+12000+110000</f>
        <v>155900</v>
      </c>
      <c r="F176" s="184">
        <f>33900+12000</f>
        <v>45900</v>
      </c>
      <c r="G176" s="184"/>
      <c r="H176" s="184"/>
      <c r="I176" s="184"/>
      <c r="J176" s="184"/>
      <c r="K176" s="184"/>
      <c r="L176" s="184">
        <v>110000</v>
      </c>
      <c r="M176" s="538">
        <f t="shared" si="28"/>
        <v>155900</v>
      </c>
      <c r="N176" s="539">
        <f t="shared" si="29"/>
        <v>0</v>
      </c>
    </row>
    <row r="177" spans="1:14" s="321" customFormat="1" ht="15.75" thickBot="1">
      <c r="A177" s="1033" t="s">
        <v>608</v>
      </c>
      <c r="B177" s="594"/>
      <c r="C177" s="554"/>
      <c r="D177" s="555" t="s">
        <v>298</v>
      </c>
      <c r="E177" s="556">
        <f>SUM(E178:E179)</f>
        <v>71000</v>
      </c>
      <c r="F177" s="556">
        <f aca="true" t="shared" si="32" ref="F177:L177">SUM(F178:F179)</f>
        <v>71000</v>
      </c>
      <c r="G177" s="556">
        <f t="shared" si="32"/>
        <v>40590</v>
      </c>
      <c r="H177" s="556">
        <f t="shared" si="32"/>
        <v>3174</v>
      </c>
      <c r="I177" s="556">
        <f t="shared" si="32"/>
        <v>6000</v>
      </c>
      <c r="J177" s="556">
        <f t="shared" si="32"/>
        <v>0</v>
      </c>
      <c r="K177" s="556">
        <f t="shared" si="32"/>
        <v>0</v>
      </c>
      <c r="L177" s="556">
        <f t="shared" si="32"/>
        <v>0</v>
      </c>
      <c r="M177" s="266">
        <f t="shared" si="28"/>
        <v>71000</v>
      </c>
      <c r="N177" s="265">
        <f t="shared" si="29"/>
        <v>0</v>
      </c>
    </row>
    <row r="178" spans="1:14" s="23" customFormat="1" ht="15">
      <c r="A178" s="175"/>
      <c r="B178" s="595" t="s">
        <v>609</v>
      </c>
      <c r="C178" s="175"/>
      <c r="D178" s="195" t="s">
        <v>610</v>
      </c>
      <c r="E178" s="184">
        <f>F178+L178</f>
        <v>60000</v>
      </c>
      <c r="F178" s="184">
        <v>60000</v>
      </c>
      <c r="G178" s="184">
        <v>40590</v>
      </c>
      <c r="H178" s="184">
        <v>3174</v>
      </c>
      <c r="I178" s="184"/>
      <c r="J178" s="184"/>
      <c r="K178" s="184"/>
      <c r="L178" s="184"/>
      <c r="M178" s="266">
        <f t="shared" si="28"/>
        <v>60000</v>
      </c>
      <c r="N178" s="265">
        <f t="shared" si="29"/>
        <v>0</v>
      </c>
    </row>
    <row r="179" spans="1:14" s="23" customFormat="1" ht="15.75" thickBot="1">
      <c r="A179" s="189"/>
      <c r="B179" s="651" t="s">
        <v>611</v>
      </c>
      <c r="C179" s="189"/>
      <c r="D179" s="200" t="s">
        <v>178</v>
      </c>
      <c r="E179" s="184">
        <v>11000</v>
      </c>
      <c r="F179" s="184">
        <v>11000</v>
      </c>
      <c r="G179" s="184"/>
      <c r="H179" s="184"/>
      <c r="I179" s="184">
        <v>6000</v>
      </c>
      <c r="J179" s="184"/>
      <c r="K179" s="184"/>
      <c r="L179" s="184"/>
      <c r="M179" s="266">
        <f t="shared" si="28"/>
        <v>11000</v>
      </c>
      <c r="N179" s="265">
        <f t="shared" si="29"/>
        <v>0</v>
      </c>
    </row>
    <row r="180" spans="1:14" s="321" customFormat="1" ht="15.75" thickBot="1">
      <c r="A180" s="554" t="s">
        <v>612</v>
      </c>
      <c r="B180" s="594"/>
      <c r="C180" s="554"/>
      <c r="D180" s="555" t="s">
        <v>299</v>
      </c>
      <c r="E180" s="556">
        <f>SUM(E181:E186)</f>
        <v>2647000</v>
      </c>
      <c r="F180" s="556">
        <f aca="true" t="shared" si="33" ref="F180:L180">SUM(F181:F186)</f>
        <v>2647000</v>
      </c>
      <c r="G180" s="556">
        <f t="shared" si="33"/>
        <v>394900</v>
      </c>
      <c r="H180" s="556">
        <f t="shared" si="33"/>
        <v>74800</v>
      </c>
      <c r="I180" s="556">
        <f t="shared" si="33"/>
        <v>5000</v>
      </c>
      <c r="J180" s="556">
        <f t="shared" si="33"/>
        <v>0</v>
      </c>
      <c r="K180" s="556">
        <f t="shared" si="33"/>
        <v>0</v>
      </c>
      <c r="L180" s="556">
        <f t="shared" si="33"/>
        <v>0</v>
      </c>
      <c r="M180" s="266">
        <f t="shared" si="28"/>
        <v>2647000</v>
      </c>
      <c r="N180" s="265">
        <f t="shared" si="29"/>
        <v>0</v>
      </c>
    </row>
    <row r="181" spans="1:14" s="417" customFormat="1" ht="51">
      <c r="A181" s="175"/>
      <c r="B181" s="595" t="s">
        <v>613</v>
      </c>
      <c r="C181" s="175"/>
      <c r="D181" s="195" t="s">
        <v>300</v>
      </c>
      <c r="E181" s="184">
        <v>1492000</v>
      </c>
      <c r="F181" s="184">
        <v>1492000</v>
      </c>
      <c r="G181" s="184">
        <f>34000+2700</f>
        <v>36700</v>
      </c>
      <c r="H181" s="184">
        <f>5900+900</f>
        <v>6800</v>
      </c>
      <c r="I181" s="184"/>
      <c r="J181" s="184"/>
      <c r="K181" s="184"/>
      <c r="L181" s="184"/>
      <c r="M181" s="538">
        <f t="shared" si="28"/>
        <v>1492000</v>
      </c>
      <c r="N181" s="539">
        <f t="shared" si="29"/>
        <v>0</v>
      </c>
    </row>
    <row r="182" spans="1:14" s="417" customFormat="1" ht="51">
      <c r="A182" s="175"/>
      <c r="B182" s="595" t="s">
        <v>614</v>
      </c>
      <c r="C182" s="175"/>
      <c r="D182" s="195" t="s">
        <v>615</v>
      </c>
      <c r="E182" s="184">
        <v>9000</v>
      </c>
      <c r="F182" s="184">
        <v>9000</v>
      </c>
      <c r="G182" s="184"/>
      <c r="H182" s="184"/>
      <c r="I182" s="184"/>
      <c r="J182" s="184"/>
      <c r="K182" s="184"/>
      <c r="L182" s="184"/>
      <c r="M182" s="538">
        <f t="shared" si="28"/>
        <v>9000</v>
      </c>
      <c r="N182" s="539">
        <f t="shared" si="29"/>
        <v>0</v>
      </c>
    </row>
    <row r="183" spans="1:14" s="417" customFormat="1" ht="25.5">
      <c r="A183" s="175"/>
      <c r="B183" s="595" t="s">
        <v>616</v>
      </c>
      <c r="C183" s="175"/>
      <c r="D183" s="195" t="s">
        <v>302</v>
      </c>
      <c r="E183" s="184">
        <v>371000</v>
      </c>
      <c r="F183" s="184">
        <v>371000</v>
      </c>
      <c r="G183" s="184"/>
      <c r="H183" s="184"/>
      <c r="I183" s="184"/>
      <c r="J183" s="184"/>
      <c r="K183" s="184"/>
      <c r="L183" s="184"/>
      <c r="M183" s="538">
        <f t="shared" si="28"/>
        <v>371000</v>
      </c>
      <c r="N183" s="539">
        <f t="shared" si="29"/>
        <v>0</v>
      </c>
    </row>
    <row r="184" spans="1:14" s="417" customFormat="1" ht="15">
      <c r="A184" s="175"/>
      <c r="B184" s="595" t="s">
        <v>617</v>
      </c>
      <c r="C184" s="175"/>
      <c r="D184" s="195" t="s">
        <v>618</v>
      </c>
      <c r="E184" s="184">
        <v>140000</v>
      </c>
      <c r="F184" s="184">
        <v>140000</v>
      </c>
      <c r="G184" s="184"/>
      <c r="H184" s="184"/>
      <c r="I184" s="184"/>
      <c r="J184" s="184"/>
      <c r="K184" s="184"/>
      <c r="L184" s="184"/>
      <c r="M184" s="538">
        <f t="shared" si="28"/>
        <v>140000</v>
      </c>
      <c r="N184" s="539">
        <f t="shared" si="29"/>
        <v>0</v>
      </c>
    </row>
    <row r="185" spans="1:14" s="417" customFormat="1" ht="15">
      <c r="A185" s="175"/>
      <c r="B185" s="595" t="s">
        <v>619</v>
      </c>
      <c r="C185" s="175"/>
      <c r="D185" s="195" t="s">
        <v>305</v>
      </c>
      <c r="E185" s="184">
        <v>498000</v>
      </c>
      <c r="F185" s="184">
        <v>498000</v>
      </c>
      <c r="G185" s="184">
        <f>257000+19200+5000+72000+5000</f>
        <v>358200</v>
      </c>
      <c r="H185" s="184">
        <f>45000+8000+13000+2000</f>
        <v>68000</v>
      </c>
      <c r="I185" s="184"/>
      <c r="J185" s="184"/>
      <c r="K185" s="184"/>
      <c r="L185" s="184"/>
      <c r="M185" s="538">
        <f t="shared" si="28"/>
        <v>498000</v>
      </c>
      <c r="N185" s="539">
        <f t="shared" si="29"/>
        <v>0</v>
      </c>
    </row>
    <row r="186" spans="1:14" s="417" customFormat="1" ht="15.75" thickBot="1">
      <c r="A186" s="182"/>
      <c r="B186" s="650" t="s">
        <v>620</v>
      </c>
      <c r="C186" s="182"/>
      <c r="D186" s="183" t="s">
        <v>898</v>
      </c>
      <c r="E186" s="201">
        <f>SUM(E187:E188)</f>
        <v>137000</v>
      </c>
      <c r="F186" s="201">
        <f aca="true" t="shared" si="34" ref="F186:L186">SUM(F187:F188)</f>
        <v>137000</v>
      </c>
      <c r="G186" s="201">
        <f t="shared" si="34"/>
        <v>0</v>
      </c>
      <c r="H186" s="201">
        <f t="shared" si="34"/>
        <v>0</v>
      </c>
      <c r="I186" s="201">
        <f t="shared" si="34"/>
        <v>5000</v>
      </c>
      <c r="J186" s="201">
        <f t="shared" si="34"/>
        <v>0</v>
      </c>
      <c r="K186" s="201">
        <f t="shared" si="34"/>
        <v>0</v>
      </c>
      <c r="L186" s="201">
        <f t="shared" si="34"/>
        <v>0</v>
      </c>
      <c r="M186" s="538">
        <f t="shared" si="28"/>
        <v>137000</v>
      </c>
      <c r="N186" s="539">
        <f t="shared" si="29"/>
        <v>0</v>
      </c>
    </row>
    <row r="187" spans="1:14" s="254" customFormat="1" ht="15" hidden="1">
      <c r="A187" s="732" t="s">
        <v>901</v>
      </c>
      <c r="B187" s="731" t="s">
        <v>620</v>
      </c>
      <c r="C187" s="732"/>
      <c r="D187" s="733" t="s">
        <v>896</v>
      </c>
      <c r="E187" s="730">
        <v>122000</v>
      </c>
      <c r="F187" s="725">
        <v>122000</v>
      </c>
      <c r="G187" s="725"/>
      <c r="H187" s="725"/>
      <c r="I187" s="725"/>
      <c r="J187" s="725"/>
      <c r="K187" s="725"/>
      <c r="L187" s="725"/>
      <c r="M187" s="538">
        <f t="shared" si="28"/>
        <v>122000</v>
      </c>
      <c r="N187" s="539">
        <f t="shared" si="29"/>
        <v>0</v>
      </c>
    </row>
    <row r="188" spans="1:14" s="254" customFormat="1" ht="15.75" hidden="1" thickBot="1">
      <c r="A188" s="258" t="s">
        <v>902</v>
      </c>
      <c r="B188" s="728" t="s">
        <v>620</v>
      </c>
      <c r="C188" s="258"/>
      <c r="D188" s="729" t="s">
        <v>897</v>
      </c>
      <c r="E188" s="730">
        <v>15000</v>
      </c>
      <c r="F188" s="725">
        <v>15000</v>
      </c>
      <c r="G188" s="725"/>
      <c r="H188" s="725"/>
      <c r="I188" s="725">
        <v>5000</v>
      </c>
      <c r="J188" s="725"/>
      <c r="K188" s="725"/>
      <c r="L188" s="725"/>
      <c r="M188" s="538">
        <f t="shared" si="28"/>
        <v>15000</v>
      </c>
      <c r="N188" s="539">
        <f t="shared" si="29"/>
        <v>0</v>
      </c>
    </row>
    <row r="189" spans="1:14" s="321" customFormat="1" ht="15.75" thickBot="1">
      <c r="A189" s="554" t="s">
        <v>621</v>
      </c>
      <c r="B189" s="594"/>
      <c r="C189" s="554"/>
      <c r="D189" s="554" t="s">
        <v>355</v>
      </c>
      <c r="E189" s="556">
        <f>SUM(E190:E192)</f>
        <v>130872</v>
      </c>
      <c r="F189" s="556">
        <f aca="true" t="shared" si="35" ref="F189:L189">SUM(F190:F192)</f>
        <v>130872</v>
      </c>
      <c r="G189" s="556">
        <f t="shared" si="35"/>
        <v>92550</v>
      </c>
      <c r="H189" s="556">
        <f t="shared" si="35"/>
        <v>19300</v>
      </c>
      <c r="I189" s="556">
        <f t="shared" si="35"/>
        <v>0</v>
      </c>
      <c r="J189" s="556">
        <f t="shared" si="35"/>
        <v>0</v>
      </c>
      <c r="K189" s="556">
        <f t="shared" si="35"/>
        <v>0</v>
      </c>
      <c r="L189" s="556">
        <f t="shared" si="35"/>
        <v>0</v>
      </c>
      <c r="M189" s="266">
        <f t="shared" si="28"/>
        <v>130872</v>
      </c>
      <c r="N189" s="265">
        <f t="shared" si="29"/>
        <v>0</v>
      </c>
    </row>
    <row r="190" spans="1:14" s="417" customFormat="1" ht="15">
      <c r="A190" s="175"/>
      <c r="B190" s="595" t="s">
        <v>622</v>
      </c>
      <c r="C190" s="175"/>
      <c r="D190" s="195" t="s">
        <v>623</v>
      </c>
      <c r="E190" s="184">
        <v>129357</v>
      </c>
      <c r="F190" s="184">
        <v>129357</v>
      </c>
      <c r="G190" s="184">
        <v>92550</v>
      </c>
      <c r="H190" s="184">
        <v>19300</v>
      </c>
      <c r="I190" s="184"/>
      <c r="J190" s="184"/>
      <c r="K190" s="184"/>
      <c r="L190" s="184"/>
      <c r="M190" s="538">
        <f t="shared" si="28"/>
        <v>129357</v>
      </c>
      <c r="N190" s="539">
        <f t="shared" si="29"/>
        <v>0</v>
      </c>
    </row>
    <row r="191" spans="1:14" s="417" customFormat="1" ht="15">
      <c r="A191" s="175"/>
      <c r="B191" s="595" t="s">
        <v>625</v>
      </c>
      <c r="C191" s="175"/>
      <c r="D191" s="195" t="s">
        <v>606</v>
      </c>
      <c r="E191" s="184">
        <v>900</v>
      </c>
      <c r="F191" s="184">
        <v>900</v>
      </c>
      <c r="G191" s="184"/>
      <c r="H191" s="184"/>
      <c r="I191" s="184"/>
      <c r="J191" s="184"/>
      <c r="K191" s="184"/>
      <c r="L191" s="184"/>
      <c r="M191" s="538">
        <f t="shared" si="28"/>
        <v>900</v>
      </c>
      <c r="N191" s="539">
        <f t="shared" si="29"/>
        <v>0</v>
      </c>
    </row>
    <row r="192" spans="1:14" s="417" customFormat="1" ht="15.75" thickBot="1">
      <c r="A192" s="189"/>
      <c r="B192" s="651" t="s">
        <v>626</v>
      </c>
      <c r="C192" s="189"/>
      <c r="D192" s="200" t="s">
        <v>178</v>
      </c>
      <c r="E192" s="201">
        <v>615</v>
      </c>
      <c r="F192" s="184">
        <v>615</v>
      </c>
      <c r="G192" s="184"/>
      <c r="H192" s="184"/>
      <c r="I192" s="184"/>
      <c r="J192" s="184"/>
      <c r="K192" s="184"/>
      <c r="L192" s="184"/>
      <c r="M192" s="538">
        <f t="shared" si="28"/>
        <v>615</v>
      </c>
      <c r="N192" s="539">
        <f t="shared" si="29"/>
        <v>0</v>
      </c>
    </row>
    <row r="193" spans="1:14" s="321" customFormat="1" ht="30.75" thickBot="1">
      <c r="A193" s="554" t="s">
        <v>627</v>
      </c>
      <c r="B193" s="594"/>
      <c r="C193" s="554"/>
      <c r="D193" s="555" t="s">
        <v>306</v>
      </c>
      <c r="E193" s="556">
        <f aca="true" t="shared" si="36" ref="E193:L193">E194+E201+E209+E218+E223</f>
        <v>951540</v>
      </c>
      <c r="F193" s="556">
        <f t="shared" si="36"/>
        <v>281040</v>
      </c>
      <c r="G193" s="556">
        <f t="shared" si="36"/>
        <v>0</v>
      </c>
      <c r="H193" s="556">
        <f t="shared" si="36"/>
        <v>0</v>
      </c>
      <c r="I193" s="556">
        <f t="shared" si="36"/>
        <v>0</v>
      </c>
      <c r="J193" s="556">
        <f t="shared" si="36"/>
        <v>0</v>
      </c>
      <c r="K193" s="556">
        <f t="shared" si="36"/>
        <v>0</v>
      </c>
      <c r="L193" s="556">
        <f t="shared" si="36"/>
        <v>670500</v>
      </c>
      <c r="M193" s="266">
        <f t="shared" si="28"/>
        <v>951540</v>
      </c>
      <c r="N193" s="265">
        <f t="shared" si="29"/>
        <v>0</v>
      </c>
    </row>
    <row r="194" spans="1:14" s="23" customFormat="1" ht="15">
      <c r="A194" s="175"/>
      <c r="B194" s="595" t="s">
        <v>628</v>
      </c>
      <c r="C194" s="175"/>
      <c r="D194" s="195" t="s">
        <v>629</v>
      </c>
      <c r="E194" s="184">
        <f aca="true" t="shared" si="37" ref="E194:L194">SUM(E195:E200)</f>
        <v>300000</v>
      </c>
      <c r="F194" s="184">
        <f t="shared" si="37"/>
        <v>0</v>
      </c>
      <c r="G194" s="184">
        <f t="shared" si="37"/>
        <v>0</v>
      </c>
      <c r="H194" s="184">
        <f t="shared" si="37"/>
        <v>0</v>
      </c>
      <c r="I194" s="184">
        <f t="shared" si="37"/>
        <v>0</v>
      </c>
      <c r="J194" s="184">
        <f t="shared" si="37"/>
        <v>0</v>
      </c>
      <c r="K194" s="184">
        <f t="shared" si="37"/>
        <v>0</v>
      </c>
      <c r="L194" s="184">
        <f t="shared" si="37"/>
        <v>300000</v>
      </c>
      <c r="M194" s="266">
        <f t="shared" si="28"/>
        <v>300000</v>
      </c>
      <c r="N194" s="265">
        <f t="shared" si="29"/>
        <v>0</v>
      </c>
    </row>
    <row r="195" spans="1:14" s="254" customFormat="1" ht="12.75" hidden="1">
      <c r="A195" s="249"/>
      <c r="B195" s="837" t="s">
        <v>715</v>
      </c>
      <c r="C195" s="829" t="s">
        <v>398</v>
      </c>
      <c r="D195" s="830" t="s">
        <v>290</v>
      </c>
      <c r="E195" s="828">
        <v>150000</v>
      </c>
      <c r="F195" s="725"/>
      <c r="G195" s="725"/>
      <c r="H195" s="725"/>
      <c r="I195" s="725"/>
      <c r="J195" s="725"/>
      <c r="K195" s="725"/>
      <c r="L195" s="725">
        <f aca="true" t="shared" si="38" ref="L195:L200">E195</f>
        <v>150000</v>
      </c>
      <c r="M195" s="763">
        <f t="shared" si="28"/>
        <v>150000</v>
      </c>
      <c r="N195" s="764">
        <f t="shared" si="29"/>
        <v>0</v>
      </c>
    </row>
    <row r="196" spans="1:14" s="254" customFormat="1" ht="12.75" hidden="1">
      <c r="A196" s="249"/>
      <c r="B196" s="726"/>
      <c r="C196" s="829" t="s">
        <v>399</v>
      </c>
      <c r="D196" s="830" t="s">
        <v>290</v>
      </c>
      <c r="E196" s="828">
        <v>50000</v>
      </c>
      <c r="F196" s="725"/>
      <c r="G196" s="725"/>
      <c r="H196" s="725"/>
      <c r="I196" s="725"/>
      <c r="J196" s="725"/>
      <c r="K196" s="725"/>
      <c r="L196" s="725">
        <f t="shared" si="38"/>
        <v>50000</v>
      </c>
      <c r="M196" s="763">
        <f t="shared" si="28"/>
        <v>50000</v>
      </c>
      <c r="N196" s="764">
        <f t="shared" si="29"/>
        <v>0</v>
      </c>
    </row>
    <row r="197" spans="1:14" s="254" customFormat="1" ht="25.5" hidden="1">
      <c r="A197" s="249"/>
      <c r="B197" s="837" t="s">
        <v>716</v>
      </c>
      <c r="C197" s="829" t="s">
        <v>398</v>
      </c>
      <c r="D197" s="830" t="s">
        <v>791</v>
      </c>
      <c r="E197" s="822">
        <v>75000</v>
      </c>
      <c r="F197" s="725"/>
      <c r="G197" s="725"/>
      <c r="H197" s="725"/>
      <c r="I197" s="725"/>
      <c r="J197" s="725"/>
      <c r="K197" s="725"/>
      <c r="L197" s="725">
        <f t="shared" si="38"/>
        <v>75000</v>
      </c>
      <c r="M197" s="763">
        <f t="shared" si="28"/>
        <v>75000</v>
      </c>
      <c r="N197" s="764">
        <f t="shared" si="29"/>
        <v>0</v>
      </c>
    </row>
    <row r="198" spans="1:14" s="254" customFormat="1" ht="25.5" hidden="1">
      <c r="A198" s="249"/>
      <c r="B198" s="726"/>
      <c r="C198" s="829" t="s">
        <v>399</v>
      </c>
      <c r="D198" s="830" t="s">
        <v>791</v>
      </c>
      <c r="E198" s="822">
        <v>25000</v>
      </c>
      <c r="F198" s="725"/>
      <c r="G198" s="725"/>
      <c r="H198" s="725"/>
      <c r="I198" s="725"/>
      <c r="J198" s="725"/>
      <c r="K198" s="725"/>
      <c r="L198" s="725">
        <f t="shared" si="38"/>
        <v>25000</v>
      </c>
      <c r="M198" s="763">
        <f t="shared" si="28"/>
        <v>25000</v>
      </c>
      <c r="N198" s="764">
        <f t="shared" si="29"/>
        <v>0</v>
      </c>
    </row>
    <row r="199" spans="1:14" s="254" customFormat="1" ht="12.75" hidden="1">
      <c r="A199" s="249"/>
      <c r="B199" s="831" t="s">
        <v>474</v>
      </c>
      <c r="C199" s="832" t="s">
        <v>386</v>
      </c>
      <c r="D199" s="833" t="s">
        <v>751</v>
      </c>
      <c r="E199" s="822">
        <v>0</v>
      </c>
      <c r="F199" s="822"/>
      <c r="G199" s="759"/>
      <c r="H199" s="759"/>
      <c r="I199" s="759"/>
      <c r="J199" s="759"/>
      <c r="K199" s="759"/>
      <c r="L199" s="759">
        <f t="shared" si="38"/>
        <v>0</v>
      </c>
      <c r="M199" s="763">
        <f t="shared" si="28"/>
        <v>0</v>
      </c>
      <c r="N199" s="764">
        <f t="shared" si="29"/>
        <v>0</v>
      </c>
    </row>
    <row r="200" spans="1:14" s="254" customFormat="1" ht="12.75" hidden="1">
      <c r="A200" s="249"/>
      <c r="B200" s="726"/>
      <c r="C200" s="249"/>
      <c r="D200" s="727"/>
      <c r="E200" s="725"/>
      <c r="F200" s="725"/>
      <c r="G200" s="725"/>
      <c r="H200" s="725"/>
      <c r="I200" s="725"/>
      <c r="J200" s="725"/>
      <c r="K200" s="725"/>
      <c r="L200" s="725">
        <f t="shared" si="38"/>
        <v>0</v>
      </c>
      <c r="M200" s="763">
        <f t="shared" si="28"/>
        <v>0</v>
      </c>
      <c r="N200" s="764">
        <f t="shared" si="29"/>
        <v>0</v>
      </c>
    </row>
    <row r="201" spans="1:14" s="23" customFormat="1" ht="15">
      <c r="A201" s="175"/>
      <c r="B201" s="595" t="s">
        <v>630</v>
      </c>
      <c r="C201" s="175"/>
      <c r="D201" s="195" t="s">
        <v>357</v>
      </c>
      <c r="E201" s="184">
        <f>SUM(E202:E208)</f>
        <v>211700</v>
      </c>
      <c r="F201" s="184">
        <f aca="true" t="shared" si="39" ref="F201:L201">SUM(F202:F208)</f>
        <v>24500</v>
      </c>
      <c r="G201" s="184">
        <f t="shared" si="39"/>
        <v>0</v>
      </c>
      <c r="H201" s="184">
        <f t="shared" si="39"/>
        <v>0</v>
      </c>
      <c r="I201" s="184">
        <f t="shared" si="39"/>
        <v>0</v>
      </c>
      <c r="J201" s="184">
        <f t="shared" si="39"/>
        <v>0</v>
      </c>
      <c r="K201" s="184">
        <f t="shared" si="39"/>
        <v>0</v>
      </c>
      <c r="L201" s="184">
        <f t="shared" si="39"/>
        <v>187200</v>
      </c>
      <c r="M201" s="266">
        <f t="shared" si="28"/>
        <v>211700</v>
      </c>
      <c r="N201" s="265">
        <f t="shared" si="29"/>
        <v>0</v>
      </c>
    </row>
    <row r="202" spans="1:14" s="771" customFormat="1" ht="25.5" hidden="1">
      <c r="A202" s="742"/>
      <c r="B202" s="741"/>
      <c r="C202" s="742" t="s">
        <v>378</v>
      </c>
      <c r="D202" s="743" t="s">
        <v>475</v>
      </c>
      <c r="E202" s="762">
        <v>3000</v>
      </c>
      <c r="F202" s="762">
        <v>3000</v>
      </c>
      <c r="G202" s="762"/>
      <c r="H202" s="762"/>
      <c r="I202" s="762"/>
      <c r="J202" s="762"/>
      <c r="K202" s="762"/>
      <c r="L202" s="762"/>
      <c r="M202" s="769">
        <f t="shared" si="28"/>
        <v>3000</v>
      </c>
      <c r="N202" s="770">
        <f t="shared" si="29"/>
        <v>0</v>
      </c>
    </row>
    <row r="203" spans="1:14" s="771" customFormat="1" ht="12.75" hidden="1">
      <c r="A203" s="742"/>
      <c r="B203" s="741"/>
      <c r="C203" s="742"/>
      <c r="D203" s="743" t="s">
        <v>476</v>
      </c>
      <c r="E203" s="762">
        <v>2000</v>
      </c>
      <c r="F203" s="762">
        <v>2000</v>
      </c>
      <c r="G203" s="762"/>
      <c r="H203" s="762"/>
      <c r="I203" s="762"/>
      <c r="J203" s="762"/>
      <c r="K203" s="762"/>
      <c r="L203" s="762"/>
      <c r="M203" s="769">
        <f t="shared" si="28"/>
        <v>2000</v>
      </c>
      <c r="N203" s="770">
        <f t="shared" si="29"/>
        <v>0</v>
      </c>
    </row>
    <row r="204" spans="1:14" s="771" customFormat="1" ht="25.5" hidden="1">
      <c r="A204" s="742"/>
      <c r="B204" s="741"/>
      <c r="C204" s="742"/>
      <c r="D204" s="743" t="s">
        <v>477</v>
      </c>
      <c r="E204" s="762">
        <v>9000</v>
      </c>
      <c r="F204" s="762">
        <v>9000</v>
      </c>
      <c r="G204" s="762"/>
      <c r="H204" s="762"/>
      <c r="I204" s="762"/>
      <c r="J204" s="762"/>
      <c r="K204" s="762"/>
      <c r="L204" s="762"/>
      <c r="M204" s="769">
        <f t="shared" si="28"/>
        <v>9000</v>
      </c>
      <c r="N204" s="770">
        <f t="shared" si="29"/>
        <v>0</v>
      </c>
    </row>
    <row r="205" spans="1:14" s="771" customFormat="1" ht="12.75" hidden="1">
      <c r="A205" s="742"/>
      <c r="B205" s="741"/>
      <c r="C205" s="742"/>
      <c r="D205" s="743" t="s">
        <v>479</v>
      </c>
      <c r="E205" s="762">
        <v>9000</v>
      </c>
      <c r="F205" s="762">
        <v>9000</v>
      </c>
      <c r="G205" s="762"/>
      <c r="H205" s="762"/>
      <c r="I205" s="762"/>
      <c r="J205" s="762"/>
      <c r="K205" s="762"/>
      <c r="L205" s="762"/>
      <c r="M205" s="769">
        <f t="shared" si="28"/>
        <v>9000</v>
      </c>
      <c r="N205" s="770">
        <f t="shared" si="29"/>
        <v>0</v>
      </c>
    </row>
    <row r="206" spans="1:14" s="771" customFormat="1" ht="25.5" hidden="1">
      <c r="A206" s="742"/>
      <c r="B206" s="741"/>
      <c r="C206" s="742"/>
      <c r="D206" s="743" t="s">
        <v>478</v>
      </c>
      <c r="E206" s="762">
        <v>1500</v>
      </c>
      <c r="F206" s="762">
        <v>1500</v>
      </c>
      <c r="G206" s="762"/>
      <c r="H206" s="762"/>
      <c r="I206" s="762"/>
      <c r="J206" s="762"/>
      <c r="K206" s="762"/>
      <c r="L206" s="762"/>
      <c r="M206" s="769">
        <f t="shared" si="28"/>
        <v>1500</v>
      </c>
      <c r="N206" s="770">
        <f t="shared" si="29"/>
        <v>0</v>
      </c>
    </row>
    <row r="207" spans="1:14" s="771" customFormat="1" ht="25.5" hidden="1">
      <c r="A207" s="742"/>
      <c r="B207" s="839" t="s">
        <v>792</v>
      </c>
      <c r="C207" s="742" t="s">
        <v>386</v>
      </c>
      <c r="D207" s="743" t="s">
        <v>480</v>
      </c>
      <c r="E207" s="806">
        <v>93600</v>
      </c>
      <c r="F207" s="762"/>
      <c r="G207" s="762"/>
      <c r="H207" s="762"/>
      <c r="I207" s="762"/>
      <c r="J207" s="762"/>
      <c r="K207" s="762"/>
      <c r="L207" s="762">
        <v>93600</v>
      </c>
      <c r="M207" s="769">
        <f t="shared" si="28"/>
        <v>93600</v>
      </c>
      <c r="N207" s="770">
        <f t="shared" si="29"/>
        <v>0</v>
      </c>
    </row>
    <row r="208" spans="1:14" s="771" customFormat="1" ht="25.5" hidden="1">
      <c r="A208" s="742"/>
      <c r="B208" s="741" t="s">
        <v>526</v>
      </c>
      <c r="C208" s="742"/>
      <c r="D208" s="743" t="s">
        <v>481</v>
      </c>
      <c r="E208" s="806">
        <v>93600</v>
      </c>
      <c r="F208" s="762"/>
      <c r="G208" s="762"/>
      <c r="H208" s="762"/>
      <c r="I208" s="762"/>
      <c r="J208" s="762"/>
      <c r="K208" s="762"/>
      <c r="L208" s="762">
        <v>93600</v>
      </c>
      <c r="M208" s="769">
        <f t="shared" si="28"/>
        <v>93600</v>
      </c>
      <c r="N208" s="770">
        <f t="shared" si="29"/>
        <v>0</v>
      </c>
    </row>
    <row r="209" spans="1:14" s="23" customFormat="1" ht="15">
      <c r="A209" s="175"/>
      <c r="B209" s="595" t="s">
        <v>631</v>
      </c>
      <c r="C209" s="175"/>
      <c r="D209" s="195" t="s">
        <v>632</v>
      </c>
      <c r="E209" s="184">
        <f>SUM(E210:E217)</f>
        <v>91540</v>
      </c>
      <c r="F209" s="184">
        <f aca="true" t="shared" si="40" ref="F209:L209">SUM(F210:F217)</f>
        <v>83540</v>
      </c>
      <c r="G209" s="184">
        <f t="shared" si="40"/>
        <v>0</v>
      </c>
      <c r="H209" s="184">
        <f t="shared" si="40"/>
        <v>0</v>
      </c>
      <c r="I209" s="184">
        <f t="shared" si="40"/>
        <v>0</v>
      </c>
      <c r="J209" s="184">
        <f t="shared" si="40"/>
        <v>0</v>
      </c>
      <c r="K209" s="184">
        <f t="shared" si="40"/>
        <v>0</v>
      </c>
      <c r="L209" s="184">
        <f t="shared" si="40"/>
        <v>8000</v>
      </c>
      <c r="M209" s="266">
        <f t="shared" si="28"/>
        <v>91540</v>
      </c>
      <c r="N209" s="265">
        <f t="shared" si="29"/>
        <v>0</v>
      </c>
    </row>
    <row r="210" spans="1:14" s="771" customFormat="1" ht="14.25" hidden="1">
      <c r="A210" s="742"/>
      <c r="B210" s="741"/>
      <c r="C210" s="742" t="s">
        <v>378</v>
      </c>
      <c r="D210" s="743" t="s">
        <v>482</v>
      </c>
      <c r="E210" s="762">
        <v>54040</v>
      </c>
      <c r="F210" s="762">
        <v>54040</v>
      </c>
      <c r="G210" s="762"/>
      <c r="H210" s="762"/>
      <c r="I210" s="762"/>
      <c r="J210" s="762"/>
      <c r="K210" s="762"/>
      <c r="L210" s="762"/>
      <c r="M210" s="800">
        <f t="shared" si="28"/>
        <v>54040</v>
      </c>
      <c r="N210" s="801">
        <f t="shared" si="29"/>
        <v>0</v>
      </c>
    </row>
    <row r="211" spans="1:14" s="771" customFormat="1" ht="38.25" hidden="1">
      <c r="A211" s="742"/>
      <c r="B211" s="741"/>
      <c r="C211" s="742" t="s">
        <v>378</v>
      </c>
      <c r="D211" s="743" t="s">
        <v>483</v>
      </c>
      <c r="E211" s="762">
        <v>8000</v>
      </c>
      <c r="F211" s="762">
        <v>8000</v>
      </c>
      <c r="G211" s="762"/>
      <c r="H211" s="762"/>
      <c r="I211" s="762"/>
      <c r="J211" s="762"/>
      <c r="K211" s="762"/>
      <c r="L211" s="762"/>
      <c r="M211" s="800">
        <f t="shared" si="28"/>
        <v>8000</v>
      </c>
      <c r="N211" s="801">
        <f t="shared" si="29"/>
        <v>0</v>
      </c>
    </row>
    <row r="212" spans="1:14" s="771" customFormat="1" ht="14.25" hidden="1">
      <c r="A212" s="742"/>
      <c r="B212" s="741"/>
      <c r="C212" s="742" t="s">
        <v>402</v>
      </c>
      <c r="D212" s="743" t="s">
        <v>486</v>
      </c>
      <c r="E212" s="806">
        <v>1000</v>
      </c>
      <c r="F212" s="806">
        <v>1000</v>
      </c>
      <c r="G212" s="762"/>
      <c r="H212" s="762"/>
      <c r="I212" s="762"/>
      <c r="J212" s="762"/>
      <c r="K212" s="762"/>
      <c r="L212" s="762"/>
      <c r="M212" s="800">
        <f t="shared" si="28"/>
        <v>1000</v>
      </c>
      <c r="N212" s="801">
        <f t="shared" si="29"/>
        <v>0</v>
      </c>
    </row>
    <row r="213" spans="1:14" s="771" customFormat="1" ht="14.25" hidden="1">
      <c r="A213" s="742"/>
      <c r="B213" s="741"/>
      <c r="C213" s="742" t="s">
        <v>402</v>
      </c>
      <c r="D213" s="743" t="s">
        <v>831</v>
      </c>
      <c r="E213" s="806">
        <v>5800</v>
      </c>
      <c r="F213" s="806">
        <v>5800</v>
      </c>
      <c r="G213" s="762"/>
      <c r="H213" s="762"/>
      <c r="I213" s="762"/>
      <c r="J213" s="762"/>
      <c r="K213" s="762"/>
      <c r="L213" s="762"/>
      <c r="M213" s="800">
        <f t="shared" si="28"/>
        <v>5800</v>
      </c>
      <c r="N213" s="801">
        <f t="shared" si="29"/>
        <v>0</v>
      </c>
    </row>
    <row r="214" spans="1:14" s="771" customFormat="1" ht="14.25" hidden="1">
      <c r="A214" s="742"/>
      <c r="B214" s="741"/>
      <c r="C214" s="742" t="s">
        <v>402</v>
      </c>
      <c r="D214" s="743" t="s">
        <v>488</v>
      </c>
      <c r="E214" s="806">
        <v>700</v>
      </c>
      <c r="F214" s="806">
        <v>700</v>
      </c>
      <c r="G214" s="762"/>
      <c r="H214" s="762"/>
      <c r="I214" s="762"/>
      <c r="J214" s="762"/>
      <c r="K214" s="762"/>
      <c r="L214" s="762"/>
      <c r="M214" s="800">
        <f t="shared" si="28"/>
        <v>700</v>
      </c>
      <c r="N214" s="801">
        <f t="shared" si="29"/>
        <v>0</v>
      </c>
    </row>
    <row r="215" spans="1:14" s="771" customFormat="1" ht="14.25" hidden="1">
      <c r="A215" s="742"/>
      <c r="B215" s="741"/>
      <c r="C215" s="742" t="s">
        <v>402</v>
      </c>
      <c r="D215" s="743" t="s">
        <v>487</v>
      </c>
      <c r="E215" s="806">
        <v>10000</v>
      </c>
      <c r="F215" s="806">
        <v>10000</v>
      </c>
      <c r="G215" s="762"/>
      <c r="H215" s="762"/>
      <c r="I215" s="762"/>
      <c r="J215" s="762"/>
      <c r="K215" s="762"/>
      <c r="L215" s="762"/>
      <c r="M215" s="800">
        <f t="shared" si="28"/>
        <v>10000</v>
      </c>
      <c r="N215" s="801">
        <f t="shared" si="29"/>
        <v>0</v>
      </c>
    </row>
    <row r="216" spans="1:14" s="771" customFormat="1" ht="14.25" hidden="1">
      <c r="A216" s="742"/>
      <c r="B216" s="741"/>
      <c r="C216" s="742" t="s">
        <v>402</v>
      </c>
      <c r="D216" s="743" t="s">
        <v>832</v>
      </c>
      <c r="E216" s="806">
        <v>4000</v>
      </c>
      <c r="F216" s="806">
        <v>4000</v>
      </c>
      <c r="G216" s="762"/>
      <c r="H216" s="762"/>
      <c r="I216" s="762"/>
      <c r="J216" s="762"/>
      <c r="K216" s="762"/>
      <c r="L216" s="762"/>
      <c r="M216" s="800">
        <f t="shared" si="28"/>
        <v>4000</v>
      </c>
      <c r="N216" s="801">
        <f t="shared" si="29"/>
        <v>0</v>
      </c>
    </row>
    <row r="217" spans="1:14" s="771" customFormat="1" ht="14.25" hidden="1">
      <c r="A217" s="742"/>
      <c r="B217" s="741"/>
      <c r="C217" s="742" t="s">
        <v>484</v>
      </c>
      <c r="D217" s="743" t="s">
        <v>485</v>
      </c>
      <c r="E217" s="806">
        <v>8000</v>
      </c>
      <c r="F217" s="762"/>
      <c r="G217" s="762"/>
      <c r="H217" s="762"/>
      <c r="I217" s="762"/>
      <c r="J217" s="762"/>
      <c r="K217" s="762"/>
      <c r="L217" s="762">
        <v>8000</v>
      </c>
      <c r="M217" s="800">
        <f t="shared" si="28"/>
        <v>8000</v>
      </c>
      <c r="N217" s="801">
        <f t="shared" si="29"/>
        <v>0</v>
      </c>
    </row>
    <row r="218" spans="1:14" s="23" customFormat="1" ht="15">
      <c r="A218" s="182"/>
      <c r="B218" s="650" t="s">
        <v>633</v>
      </c>
      <c r="C218" s="182"/>
      <c r="D218" s="183" t="s">
        <v>634</v>
      </c>
      <c r="E218" s="184">
        <f>SUM(E219:E222)</f>
        <v>217300</v>
      </c>
      <c r="F218" s="184">
        <f aca="true" t="shared" si="41" ref="F218:L218">SUM(F219:F222)</f>
        <v>152000</v>
      </c>
      <c r="G218" s="184">
        <f t="shared" si="41"/>
        <v>0</v>
      </c>
      <c r="H218" s="184">
        <f t="shared" si="41"/>
        <v>0</v>
      </c>
      <c r="I218" s="184">
        <f t="shared" si="41"/>
        <v>0</v>
      </c>
      <c r="J218" s="184">
        <f t="shared" si="41"/>
        <v>0</v>
      </c>
      <c r="K218" s="184">
        <f t="shared" si="41"/>
        <v>0</v>
      </c>
      <c r="L218" s="184">
        <f t="shared" si="41"/>
        <v>65300</v>
      </c>
      <c r="M218" s="266">
        <f t="shared" si="28"/>
        <v>217300</v>
      </c>
      <c r="N218" s="265">
        <f t="shared" si="29"/>
        <v>0</v>
      </c>
    </row>
    <row r="219" spans="1:14" s="771" customFormat="1" ht="14.25" hidden="1">
      <c r="A219" s="768"/>
      <c r="B219" s="760"/>
      <c r="C219" s="768" t="s">
        <v>408</v>
      </c>
      <c r="D219" s="761" t="s">
        <v>530</v>
      </c>
      <c r="E219" s="762">
        <v>100000</v>
      </c>
      <c r="F219" s="762">
        <v>100000</v>
      </c>
      <c r="G219" s="762"/>
      <c r="H219" s="762"/>
      <c r="I219" s="762"/>
      <c r="J219" s="762"/>
      <c r="K219" s="762"/>
      <c r="L219" s="762"/>
      <c r="M219" s="800">
        <f t="shared" si="28"/>
        <v>100000</v>
      </c>
      <c r="N219" s="801">
        <f t="shared" si="29"/>
        <v>0</v>
      </c>
    </row>
    <row r="220" spans="1:14" s="771" customFormat="1" ht="14.25" hidden="1">
      <c r="A220" s="768"/>
      <c r="B220" s="760"/>
      <c r="C220" s="768" t="s">
        <v>402</v>
      </c>
      <c r="D220" s="761" t="s">
        <v>749</v>
      </c>
      <c r="E220" s="762">
        <v>2000</v>
      </c>
      <c r="F220" s="762">
        <v>2000</v>
      </c>
      <c r="G220" s="762"/>
      <c r="H220" s="762"/>
      <c r="I220" s="762"/>
      <c r="J220" s="762"/>
      <c r="K220" s="762"/>
      <c r="L220" s="762"/>
      <c r="M220" s="800">
        <f t="shared" si="28"/>
        <v>2000</v>
      </c>
      <c r="N220" s="801">
        <f t="shared" si="29"/>
        <v>0</v>
      </c>
    </row>
    <row r="221" spans="1:14" s="771" customFormat="1" ht="14.25" hidden="1">
      <c r="A221" s="768"/>
      <c r="B221" s="760"/>
      <c r="C221" s="768" t="s">
        <v>378</v>
      </c>
      <c r="D221" s="761" t="s">
        <v>750</v>
      </c>
      <c r="E221" s="762">
        <v>50000</v>
      </c>
      <c r="F221" s="762">
        <v>50000</v>
      </c>
      <c r="G221" s="762"/>
      <c r="H221" s="762"/>
      <c r="I221" s="762"/>
      <c r="J221" s="762"/>
      <c r="K221" s="762"/>
      <c r="L221" s="762"/>
      <c r="M221" s="800">
        <f t="shared" si="28"/>
        <v>50000</v>
      </c>
      <c r="N221" s="801">
        <f t="shared" si="29"/>
        <v>0</v>
      </c>
    </row>
    <row r="222" spans="1:14" s="771" customFormat="1" ht="14.25" hidden="1">
      <c r="A222" s="768"/>
      <c r="B222" s="873"/>
      <c r="C222" s="834" t="s">
        <v>386</v>
      </c>
      <c r="D222" s="823" t="s">
        <v>752</v>
      </c>
      <c r="E222" s="825">
        <v>65300</v>
      </c>
      <c r="F222" s="825"/>
      <c r="G222" s="825"/>
      <c r="H222" s="825"/>
      <c r="I222" s="825"/>
      <c r="J222" s="825"/>
      <c r="K222" s="825"/>
      <c r="L222" s="825">
        <v>65300</v>
      </c>
      <c r="M222" s="800">
        <f t="shared" si="28"/>
        <v>65300</v>
      </c>
      <c r="N222" s="801">
        <f t="shared" si="29"/>
        <v>0</v>
      </c>
    </row>
    <row r="223" spans="1:14" s="23" customFormat="1" ht="16.5" customHeight="1" thickBot="1">
      <c r="A223" s="218"/>
      <c r="B223" s="652" t="s">
        <v>635</v>
      </c>
      <c r="C223" s="218"/>
      <c r="D223" s="653" t="s">
        <v>178</v>
      </c>
      <c r="E223" s="654">
        <f>SUM(E224:E228)</f>
        <v>131000</v>
      </c>
      <c r="F223" s="654">
        <f aca="true" t="shared" si="42" ref="F223:L223">SUM(F224:F228)</f>
        <v>21000</v>
      </c>
      <c r="G223" s="654">
        <f t="shared" si="42"/>
        <v>0</v>
      </c>
      <c r="H223" s="654">
        <f t="shared" si="42"/>
        <v>0</v>
      </c>
      <c r="I223" s="654">
        <f t="shared" si="42"/>
        <v>0</v>
      </c>
      <c r="J223" s="654">
        <f t="shared" si="42"/>
        <v>0</v>
      </c>
      <c r="K223" s="654">
        <f t="shared" si="42"/>
        <v>0</v>
      </c>
      <c r="L223" s="654">
        <f t="shared" si="42"/>
        <v>110000</v>
      </c>
      <c r="M223" s="266">
        <f t="shared" si="28"/>
        <v>131000</v>
      </c>
      <c r="N223" s="265">
        <f t="shared" si="29"/>
        <v>0</v>
      </c>
    </row>
    <row r="224" spans="1:14" s="771" customFormat="1" ht="12.75" hidden="1">
      <c r="A224" s="761"/>
      <c r="B224" s="776"/>
      <c r="C224" s="761">
        <v>4300</v>
      </c>
      <c r="D224" s="761" t="s">
        <v>753</v>
      </c>
      <c r="E224" s="762">
        <v>3000</v>
      </c>
      <c r="F224" s="762">
        <v>3000</v>
      </c>
      <c r="G224" s="762"/>
      <c r="H224" s="762"/>
      <c r="I224" s="762"/>
      <c r="J224" s="762"/>
      <c r="K224" s="762"/>
      <c r="L224" s="762"/>
      <c r="M224" s="769">
        <f t="shared" si="28"/>
        <v>3000</v>
      </c>
      <c r="N224" s="770">
        <f t="shared" si="29"/>
        <v>0</v>
      </c>
    </row>
    <row r="225" spans="1:14" s="771" customFormat="1" ht="12.75" hidden="1">
      <c r="A225" s="761"/>
      <c r="B225" s="874"/>
      <c r="C225" s="761"/>
      <c r="D225" s="761" t="s">
        <v>489</v>
      </c>
      <c r="E225" s="806">
        <v>7000</v>
      </c>
      <c r="F225" s="806">
        <v>7000</v>
      </c>
      <c r="G225" s="762"/>
      <c r="H225" s="762"/>
      <c r="I225" s="762"/>
      <c r="J225" s="762"/>
      <c r="K225" s="762"/>
      <c r="L225" s="762"/>
      <c r="M225" s="769">
        <f t="shared" si="28"/>
        <v>7000</v>
      </c>
      <c r="N225" s="770">
        <f t="shared" si="29"/>
        <v>0</v>
      </c>
    </row>
    <row r="226" spans="1:14" s="771" customFormat="1" ht="12.75" hidden="1">
      <c r="A226" s="761"/>
      <c r="B226" s="776"/>
      <c r="C226" s="761"/>
      <c r="D226" s="761" t="s">
        <v>490</v>
      </c>
      <c r="E226" s="806">
        <v>1000</v>
      </c>
      <c r="F226" s="806">
        <v>1000</v>
      </c>
      <c r="G226" s="762"/>
      <c r="H226" s="762"/>
      <c r="I226" s="762"/>
      <c r="J226" s="762"/>
      <c r="K226" s="762"/>
      <c r="L226" s="762"/>
      <c r="M226" s="769">
        <f t="shared" si="28"/>
        <v>1000</v>
      </c>
      <c r="N226" s="770">
        <f t="shared" si="29"/>
        <v>0</v>
      </c>
    </row>
    <row r="227" spans="1:14" s="771" customFormat="1" ht="12.75" hidden="1">
      <c r="A227" s="761"/>
      <c r="B227" s="776"/>
      <c r="C227" s="761">
        <v>4270</v>
      </c>
      <c r="D227" s="761" t="s">
        <v>755</v>
      </c>
      <c r="E227" s="762">
        <v>10000</v>
      </c>
      <c r="F227" s="762">
        <v>10000</v>
      </c>
      <c r="G227" s="762"/>
      <c r="H227" s="762"/>
      <c r="I227" s="762"/>
      <c r="J227" s="762"/>
      <c r="K227" s="762"/>
      <c r="L227" s="762"/>
      <c r="M227" s="769"/>
      <c r="N227" s="770"/>
    </row>
    <row r="228" spans="1:14" s="771" customFormat="1" ht="13.5" hidden="1" thickBot="1">
      <c r="A228" s="761"/>
      <c r="B228" s="838" t="s">
        <v>506</v>
      </c>
      <c r="C228" s="774">
        <v>6050</v>
      </c>
      <c r="D228" s="774" t="s">
        <v>275</v>
      </c>
      <c r="E228" s="806">
        <v>110000</v>
      </c>
      <c r="F228" s="806"/>
      <c r="G228" s="762"/>
      <c r="H228" s="762"/>
      <c r="I228" s="762"/>
      <c r="J228" s="762"/>
      <c r="K228" s="762"/>
      <c r="L228" s="762">
        <v>110000</v>
      </c>
      <c r="M228" s="769">
        <f t="shared" si="28"/>
        <v>110000</v>
      </c>
      <c r="N228" s="770">
        <f t="shared" si="29"/>
        <v>0</v>
      </c>
    </row>
    <row r="229" spans="1:14" s="321" customFormat="1" ht="30.75" thickBot="1">
      <c r="A229" s="554" t="s">
        <v>636</v>
      </c>
      <c r="B229" s="594"/>
      <c r="C229" s="554"/>
      <c r="D229" s="555" t="s">
        <v>637</v>
      </c>
      <c r="E229" s="556">
        <f aca="true" t="shared" si="43" ref="E229:L229">E230+E239</f>
        <v>1028375</v>
      </c>
      <c r="F229" s="556">
        <f t="shared" si="43"/>
        <v>629750</v>
      </c>
      <c r="G229" s="556">
        <f t="shared" si="43"/>
        <v>0</v>
      </c>
      <c r="H229" s="556">
        <f t="shared" si="43"/>
        <v>0</v>
      </c>
      <c r="I229" s="556">
        <f t="shared" si="43"/>
        <v>563750</v>
      </c>
      <c r="J229" s="556">
        <f t="shared" si="43"/>
        <v>0</v>
      </c>
      <c r="K229" s="556">
        <f t="shared" si="43"/>
        <v>0</v>
      </c>
      <c r="L229" s="556">
        <f t="shared" si="43"/>
        <v>398625</v>
      </c>
      <c r="M229" s="266">
        <f t="shared" si="28"/>
        <v>1028375</v>
      </c>
      <c r="N229" s="265">
        <f t="shared" si="29"/>
        <v>0</v>
      </c>
    </row>
    <row r="230" spans="1:14" s="23" customFormat="1" ht="15">
      <c r="A230" s="175"/>
      <c r="B230" s="595" t="s">
        <v>638</v>
      </c>
      <c r="C230" s="175"/>
      <c r="D230" s="195" t="s">
        <v>639</v>
      </c>
      <c r="E230" s="184">
        <f aca="true" t="shared" si="44" ref="E230:L230">SUM(E231:E238)</f>
        <v>947375</v>
      </c>
      <c r="F230" s="184">
        <f t="shared" si="44"/>
        <v>548750</v>
      </c>
      <c r="G230" s="184">
        <f t="shared" si="44"/>
        <v>0</v>
      </c>
      <c r="H230" s="184">
        <f t="shared" si="44"/>
        <v>0</v>
      </c>
      <c r="I230" s="184">
        <f t="shared" si="44"/>
        <v>538750</v>
      </c>
      <c r="J230" s="184">
        <f t="shared" si="44"/>
        <v>0</v>
      </c>
      <c r="K230" s="184">
        <f t="shared" si="44"/>
        <v>0</v>
      </c>
      <c r="L230" s="184">
        <f t="shared" si="44"/>
        <v>398625</v>
      </c>
      <c r="M230" s="266">
        <f t="shared" si="28"/>
        <v>947375</v>
      </c>
      <c r="N230" s="265">
        <f t="shared" si="29"/>
        <v>0</v>
      </c>
    </row>
    <row r="231" spans="1:14" s="771" customFormat="1" ht="12.75" hidden="1">
      <c r="A231" s="742"/>
      <c r="B231" s="741"/>
      <c r="C231" s="742" t="s">
        <v>640</v>
      </c>
      <c r="D231" s="761" t="s">
        <v>641</v>
      </c>
      <c r="E231" s="806">
        <v>538750</v>
      </c>
      <c r="F231" s="806">
        <v>538750</v>
      </c>
      <c r="G231" s="762"/>
      <c r="H231" s="762"/>
      <c r="I231" s="762">
        <v>538750</v>
      </c>
      <c r="J231" s="762"/>
      <c r="K231" s="762"/>
      <c r="L231" s="762"/>
      <c r="M231" s="769">
        <f t="shared" si="28"/>
        <v>538750</v>
      </c>
      <c r="N231" s="770">
        <f t="shared" si="29"/>
        <v>0</v>
      </c>
    </row>
    <row r="232" spans="1:14" s="771" customFormat="1" ht="25.5" hidden="1">
      <c r="A232" s="826"/>
      <c r="B232" s="840"/>
      <c r="C232" s="742" t="s">
        <v>379</v>
      </c>
      <c r="D232" s="761" t="s">
        <v>491</v>
      </c>
      <c r="E232" s="762">
        <v>10000</v>
      </c>
      <c r="F232" s="762">
        <v>10000</v>
      </c>
      <c r="G232" s="762"/>
      <c r="H232" s="762"/>
      <c r="I232" s="762"/>
      <c r="J232" s="762"/>
      <c r="K232" s="762"/>
      <c r="L232" s="762"/>
      <c r="M232" s="769">
        <f t="shared" si="28"/>
        <v>10000</v>
      </c>
      <c r="N232" s="770">
        <f t="shared" si="29"/>
        <v>0</v>
      </c>
    </row>
    <row r="233" spans="1:14" s="771" customFormat="1" ht="25.5" hidden="1">
      <c r="A233" s="826"/>
      <c r="B233" s="840"/>
      <c r="C233" s="742" t="s">
        <v>386</v>
      </c>
      <c r="D233" s="768" t="s">
        <v>492</v>
      </c>
      <c r="E233" s="762">
        <v>15000</v>
      </c>
      <c r="F233" s="762"/>
      <c r="G233" s="762"/>
      <c r="H233" s="762"/>
      <c r="I233" s="762"/>
      <c r="J233" s="762"/>
      <c r="K233" s="762"/>
      <c r="L233" s="762">
        <v>15000</v>
      </c>
      <c r="M233" s="769">
        <f t="shared" si="28"/>
        <v>15000</v>
      </c>
      <c r="N233" s="770">
        <f t="shared" si="29"/>
        <v>0</v>
      </c>
    </row>
    <row r="234" spans="1:14" s="771" customFormat="1" ht="25.5" hidden="1">
      <c r="A234" s="742"/>
      <c r="B234" s="741"/>
      <c r="C234" s="742" t="s">
        <v>386</v>
      </c>
      <c r="D234" s="768" t="s">
        <v>493</v>
      </c>
      <c r="E234" s="762">
        <v>25000</v>
      </c>
      <c r="F234" s="762"/>
      <c r="G234" s="762"/>
      <c r="H234" s="762"/>
      <c r="I234" s="762"/>
      <c r="J234" s="762"/>
      <c r="K234" s="762"/>
      <c r="L234" s="762">
        <v>25000</v>
      </c>
      <c r="M234" s="769">
        <f t="shared" si="28"/>
        <v>25000</v>
      </c>
      <c r="N234" s="770">
        <f t="shared" si="29"/>
        <v>0</v>
      </c>
    </row>
    <row r="235" spans="1:14" s="771" customFormat="1" ht="12.75" hidden="1">
      <c r="A235" s="742"/>
      <c r="B235" s="741"/>
      <c r="C235" s="742"/>
      <c r="D235" s="768"/>
      <c r="E235" s="762"/>
      <c r="F235" s="762"/>
      <c r="G235" s="762"/>
      <c r="H235" s="762"/>
      <c r="I235" s="762"/>
      <c r="J235" s="762"/>
      <c r="K235" s="762"/>
      <c r="L235" s="762"/>
      <c r="M235" s="769">
        <f t="shared" si="28"/>
        <v>0</v>
      </c>
      <c r="N235" s="770">
        <f t="shared" si="29"/>
        <v>0</v>
      </c>
    </row>
    <row r="236" spans="1:14" s="771" customFormat="1" ht="12.75" hidden="1">
      <c r="A236" s="742"/>
      <c r="B236" s="741"/>
      <c r="C236" s="742"/>
      <c r="D236" s="768"/>
      <c r="E236" s="762"/>
      <c r="F236" s="762"/>
      <c r="G236" s="762"/>
      <c r="H236" s="762"/>
      <c r="I236" s="762"/>
      <c r="J236" s="762"/>
      <c r="K236" s="762"/>
      <c r="L236" s="762"/>
      <c r="M236" s="769">
        <f t="shared" si="28"/>
        <v>0</v>
      </c>
      <c r="N236" s="770">
        <f t="shared" si="29"/>
        <v>0</v>
      </c>
    </row>
    <row r="237" spans="1:14" s="771" customFormat="1" ht="12.75" hidden="1">
      <c r="A237" s="1177" t="s">
        <v>507</v>
      </c>
      <c r="B237" s="1178"/>
      <c r="C237" s="742" t="s">
        <v>398</v>
      </c>
      <c r="D237" s="761" t="s">
        <v>756</v>
      </c>
      <c r="E237" s="762">
        <v>268968</v>
      </c>
      <c r="F237" s="762"/>
      <c r="G237" s="762"/>
      <c r="H237" s="762"/>
      <c r="I237" s="762"/>
      <c r="J237" s="762"/>
      <c r="K237" s="762"/>
      <c r="L237" s="762">
        <v>268968</v>
      </c>
      <c r="M237" s="769">
        <f t="shared" si="28"/>
        <v>268968</v>
      </c>
      <c r="N237" s="770">
        <f t="shared" si="29"/>
        <v>0</v>
      </c>
    </row>
    <row r="238" spans="1:14" s="771" customFormat="1" ht="12.75" hidden="1">
      <c r="A238" s="742"/>
      <c r="B238" s="741"/>
      <c r="C238" s="742" t="s">
        <v>399</v>
      </c>
      <c r="D238" s="761" t="s">
        <v>757</v>
      </c>
      <c r="E238" s="762">
        <v>89657</v>
      </c>
      <c r="F238" s="762"/>
      <c r="G238" s="762"/>
      <c r="H238" s="762"/>
      <c r="I238" s="762"/>
      <c r="J238" s="762"/>
      <c r="K238" s="762"/>
      <c r="L238" s="762">
        <v>89657</v>
      </c>
      <c r="M238" s="769">
        <f t="shared" si="28"/>
        <v>89657</v>
      </c>
      <c r="N238" s="770">
        <f t="shared" si="29"/>
        <v>0</v>
      </c>
    </row>
    <row r="239" spans="1:14" s="23" customFormat="1" ht="15.75" thickBot="1">
      <c r="A239" s="189"/>
      <c r="B239" s="651" t="s">
        <v>645</v>
      </c>
      <c r="C239" s="189"/>
      <c r="D239" s="200" t="s">
        <v>646</v>
      </c>
      <c r="E239" s="201">
        <f>SUM(E240:E242)</f>
        <v>81000</v>
      </c>
      <c r="F239" s="201">
        <f aca="true" t="shared" si="45" ref="F239:L239">SUM(F240:F242)</f>
        <v>81000</v>
      </c>
      <c r="G239" s="201">
        <f t="shared" si="45"/>
        <v>0</v>
      </c>
      <c r="H239" s="201">
        <f t="shared" si="45"/>
        <v>0</v>
      </c>
      <c r="I239" s="201">
        <f t="shared" si="45"/>
        <v>25000</v>
      </c>
      <c r="J239" s="201">
        <f t="shared" si="45"/>
        <v>0</v>
      </c>
      <c r="K239" s="201">
        <f t="shared" si="45"/>
        <v>0</v>
      </c>
      <c r="L239" s="201">
        <f t="shared" si="45"/>
        <v>0</v>
      </c>
      <c r="M239" s="266">
        <f t="shared" si="28"/>
        <v>81000</v>
      </c>
      <c r="N239" s="265">
        <f t="shared" si="29"/>
        <v>0</v>
      </c>
    </row>
    <row r="240" spans="1:14" s="771" customFormat="1" ht="12.75" hidden="1">
      <c r="A240" s="761"/>
      <c r="B240" s="776"/>
      <c r="C240" s="761">
        <v>4300</v>
      </c>
      <c r="D240" s="761" t="s">
        <v>758</v>
      </c>
      <c r="E240" s="762">
        <v>40000</v>
      </c>
      <c r="F240" s="762">
        <v>40000</v>
      </c>
      <c r="G240" s="762"/>
      <c r="H240" s="762"/>
      <c r="I240" s="762"/>
      <c r="J240" s="762"/>
      <c r="K240" s="762"/>
      <c r="L240" s="762"/>
      <c r="M240" s="769">
        <f t="shared" si="28"/>
        <v>40000</v>
      </c>
      <c r="N240" s="770">
        <f t="shared" si="29"/>
        <v>0</v>
      </c>
    </row>
    <row r="241" spans="1:14" s="771" customFormat="1" ht="12.75" hidden="1">
      <c r="A241" s="761"/>
      <c r="B241" s="776"/>
      <c r="C241" s="761"/>
      <c r="D241" s="761" t="s">
        <v>759</v>
      </c>
      <c r="E241" s="762">
        <v>16000</v>
      </c>
      <c r="F241" s="762">
        <v>16000</v>
      </c>
      <c r="G241" s="762"/>
      <c r="H241" s="762"/>
      <c r="I241" s="762"/>
      <c r="J241" s="762"/>
      <c r="K241" s="762"/>
      <c r="L241" s="762"/>
      <c r="M241" s="769">
        <f t="shared" si="28"/>
        <v>16000</v>
      </c>
      <c r="N241" s="770">
        <f t="shared" si="29"/>
        <v>0</v>
      </c>
    </row>
    <row r="242" spans="1:14" s="771" customFormat="1" ht="13.5" hidden="1" thickBot="1">
      <c r="A242" s="761"/>
      <c r="B242" s="872"/>
      <c r="C242" s="761">
        <v>2720</v>
      </c>
      <c r="D242" s="761" t="s">
        <v>494</v>
      </c>
      <c r="E242" s="762">
        <v>25000</v>
      </c>
      <c r="F242" s="762">
        <v>25000</v>
      </c>
      <c r="G242" s="762">
        <f>SUM(G243:G246)</f>
        <v>0</v>
      </c>
      <c r="H242" s="762">
        <f>SUM(H243:H246)</f>
        <v>0</v>
      </c>
      <c r="I242" s="762">
        <v>25000</v>
      </c>
      <c r="J242" s="762"/>
      <c r="K242" s="762"/>
      <c r="L242" s="762"/>
      <c r="M242" s="769">
        <f t="shared" si="28"/>
        <v>25000</v>
      </c>
      <c r="N242" s="770">
        <f t="shared" si="29"/>
        <v>0</v>
      </c>
    </row>
    <row r="243" spans="1:14" s="254" customFormat="1" ht="15" hidden="1">
      <c r="A243" s="733"/>
      <c r="B243" s="736"/>
      <c r="C243" s="737"/>
      <c r="D243" s="737"/>
      <c r="E243" s="725"/>
      <c r="F243" s="725"/>
      <c r="G243" s="725"/>
      <c r="H243" s="725"/>
      <c r="I243" s="725"/>
      <c r="J243" s="725"/>
      <c r="K243" s="725"/>
      <c r="L243" s="725"/>
      <c r="M243" s="267">
        <f aca="true" t="shared" si="46" ref="M243:M266">F243+L243</f>
        <v>0</v>
      </c>
      <c r="N243" s="268">
        <f aca="true" t="shared" si="47" ref="N243:N266">E243-M243</f>
        <v>0</v>
      </c>
    </row>
    <row r="244" spans="1:14" s="254" customFormat="1" ht="15" hidden="1">
      <c r="A244" s="733"/>
      <c r="B244" s="736"/>
      <c r="C244" s="737"/>
      <c r="D244" s="737"/>
      <c r="E244" s="725"/>
      <c r="F244" s="725"/>
      <c r="G244" s="725"/>
      <c r="H244" s="725"/>
      <c r="I244" s="725"/>
      <c r="J244" s="725"/>
      <c r="K244" s="725"/>
      <c r="L244" s="725"/>
      <c r="M244" s="267">
        <f t="shared" si="46"/>
        <v>0</v>
      </c>
      <c r="N244" s="268">
        <f t="shared" si="47"/>
        <v>0</v>
      </c>
    </row>
    <row r="245" spans="1:14" s="254" customFormat="1" ht="15" hidden="1">
      <c r="A245" s="733"/>
      <c r="B245" s="736"/>
      <c r="C245" s="737"/>
      <c r="D245" s="737"/>
      <c r="E245" s="725"/>
      <c r="F245" s="725"/>
      <c r="G245" s="725"/>
      <c r="H245" s="725"/>
      <c r="I245" s="725"/>
      <c r="J245" s="725"/>
      <c r="K245" s="725"/>
      <c r="L245" s="725"/>
      <c r="M245" s="267">
        <f t="shared" si="46"/>
        <v>0</v>
      </c>
      <c r="N245" s="268">
        <f t="shared" si="47"/>
        <v>0</v>
      </c>
    </row>
    <row r="246" spans="1:14" s="254" customFormat="1" ht="15.75" hidden="1" thickBot="1">
      <c r="A246" s="733"/>
      <c r="B246" s="736"/>
      <c r="C246" s="737"/>
      <c r="D246" s="737"/>
      <c r="E246" s="725"/>
      <c r="F246" s="725"/>
      <c r="G246" s="725"/>
      <c r="H246" s="725"/>
      <c r="I246" s="725"/>
      <c r="J246" s="725"/>
      <c r="K246" s="725"/>
      <c r="L246" s="725"/>
      <c r="M246" s="267">
        <f t="shared" si="46"/>
        <v>0</v>
      </c>
      <c r="N246" s="268">
        <f t="shared" si="47"/>
        <v>0</v>
      </c>
    </row>
    <row r="247" spans="1:14" s="321" customFormat="1" ht="15.75" thickBot="1">
      <c r="A247" s="554" t="s">
        <v>647</v>
      </c>
      <c r="B247" s="594"/>
      <c r="C247" s="554"/>
      <c r="D247" s="555" t="s">
        <v>648</v>
      </c>
      <c r="E247" s="556">
        <f>E257+E259+E248</f>
        <v>412500</v>
      </c>
      <c r="F247" s="556">
        <f aca="true" t="shared" si="48" ref="F247:L247">F257+F259+F248</f>
        <v>95500</v>
      </c>
      <c r="G247" s="556">
        <f t="shared" si="48"/>
        <v>0</v>
      </c>
      <c r="H247" s="556">
        <f t="shared" si="48"/>
        <v>0</v>
      </c>
      <c r="I247" s="556">
        <f t="shared" si="48"/>
        <v>75500</v>
      </c>
      <c r="J247" s="556">
        <f t="shared" si="48"/>
        <v>0</v>
      </c>
      <c r="K247" s="556">
        <f t="shared" si="48"/>
        <v>0</v>
      </c>
      <c r="L247" s="556">
        <f t="shared" si="48"/>
        <v>317000</v>
      </c>
      <c r="M247" s="266">
        <f t="shared" si="46"/>
        <v>412500</v>
      </c>
      <c r="N247" s="265">
        <f t="shared" si="47"/>
        <v>0</v>
      </c>
    </row>
    <row r="248" spans="1:14" s="23" customFormat="1" ht="15">
      <c r="A248" s="175"/>
      <c r="B248" s="595" t="s">
        <v>762</v>
      </c>
      <c r="C248" s="175"/>
      <c r="D248" s="195" t="s">
        <v>763</v>
      </c>
      <c r="E248" s="184">
        <f>SUM(E249:E256)</f>
        <v>267000</v>
      </c>
      <c r="F248" s="184">
        <f aca="true" t="shared" si="49" ref="F248:L248">SUM(F249:F256)</f>
        <v>10000</v>
      </c>
      <c r="G248" s="184">
        <f t="shared" si="49"/>
        <v>0</v>
      </c>
      <c r="H248" s="184">
        <f t="shared" si="49"/>
        <v>0</v>
      </c>
      <c r="I248" s="184">
        <f t="shared" si="49"/>
        <v>0</v>
      </c>
      <c r="J248" s="184">
        <f t="shared" si="49"/>
        <v>0</v>
      </c>
      <c r="K248" s="184">
        <f t="shared" si="49"/>
        <v>0</v>
      </c>
      <c r="L248" s="184">
        <f t="shared" si="49"/>
        <v>257000</v>
      </c>
      <c r="M248" s="266">
        <f t="shared" si="46"/>
        <v>267000</v>
      </c>
      <c r="N248" s="265">
        <f t="shared" si="47"/>
        <v>0</v>
      </c>
    </row>
    <row r="249" spans="1:14" s="771" customFormat="1" ht="14.25" hidden="1">
      <c r="A249" s="742"/>
      <c r="B249" s="741"/>
      <c r="C249" s="742" t="s">
        <v>378</v>
      </c>
      <c r="D249" s="743" t="s">
        <v>793</v>
      </c>
      <c r="E249" s="802">
        <v>10000</v>
      </c>
      <c r="F249" s="802">
        <v>10000</v>
      </c>
      <c r="G249" s="802"/>
      <c r="H249" s="802"/>
      <c r="I249" s="802"/>
      <c r="J249" s="802"/>
      <c r="K249" s="802"/>
      <c r="L249" s="802">
        <v>0</v>
      </c>
      <c r="M249" s="800">
        <f t="shared" si="46"/>
        <v>10000</v>
      </c>
      <c r="N249" s="801">
        <f t="shared" si="47"/>
        <v>0</v>
      </c>
    </row>
    <row r="250" spans="1:14" s="771" customFormat="1" ht="25.5" hidden="1">
      <c r="A250" s="742"/>
      <c r="B250" s="741"/>
      <c r="C250" s="826" t="s">
        <v>386</v>
      </c>
      <c r="D250" s="827" t="s">
        <v>794</v>
      </c>
      <c r="E250" s="835">
        <v>22000</v>
      </c>
      <c r="F250" s="835"/>
      <c r="G250" s="835"/>
      <c r="H250" s="835"/>
      <c r="I250" s="835"/>
      <c r="J250" s="835"/>
      <c r="K250" s="835"/>
      <c r="L250" s="835">
        <v>22000</v>
      </c>
      <c r="M250" s="800"/>
      <c r="N250" s="801"/>
    </row>
    <row r="251" spans="1:14" s="771" customFormat="1" ht="25.5" hidden="1">
      <c r="A251" s="742"/>
      <c r="B251" s="741"/>
      <c r="C251" s="742" t="s">
        <v>386</v>
      </c>
      <c r="D251" s="743" t="s">
        <v>495</v>
      </c>
      <c r="E251" s="802">
        <v>35000</v>
      </c>
      <c r="F251" s="802"/>
      <c r="G251" s="802"/>
      <c r="H251" s="802"/>
      <c r="I251" s="802"/>
      <c r="J251" s="802"/>
      <c r="K251" s="802"/>
      <c r="L251" s="802">
        <v>35000</v>
      </c>
      <c r="M251" s="800">
        <f t="shared" si="46"/>
        <v>35000</v>
      </c>
      <c r="N251" s="801">
        <f t="shared" si="47"/>
        <v>0</v>
      </c>
    </row>
    <row r="252" spans="1:14" s="771" customFormat="1" ht="14.25" hidden="1">
      <c r="A252" s="742"/>
      <c r="B252" s="839" t="s">
        <v>792</v>
      </c>
      <c r="C252" s="815" t="s">
        <v>386</v>
      </c>
      <c r="D252" s="816" t="s">
        <v>496</v>
      </c>
      <c r="E252" s="814">
        <v>200000</v>
      </c>
      <c r="F252" s="802"/>
      <c r="G252" s="802"/>
      <c r="H252" s="802"/>
      <c r="I252" s="802"/>
      <c r="J252" s="802"/>
      <c r="K252" s="802"/>
      <c r="L252" s="802">
        <v>200000</v>
      </c>
      <c r="M252" s="800">
        <f t="shared" si="46"/>
        <v>200000</v>
      </c>
      <c r="N252" s="801">
        <f t="shared" si="47"/>
        <v>0</v>
      </c>
    </row>
    <row r="253" spans="1:14" s="771" customFormat="1" ht="14.25" hidden="1">
      <c r="A253" s="742"/>
      <c r="B253" s="741"/>
      <c r="C253" s="742"/>
      <c r="D253" s="743"/>
      <c r="E253" s="802"/>
      <c r="F253" s="802"/>
      <c r="G253" s="802"/>
      <c r="H253" s="802"/>
      <c r="I253" s="802"/>
      <c r="J253" s="802"/>
      <c r="K253" s="802"/>
      <c r="L253" s="802"/>
      <c r="M253" s="800">
        <f t="shared" si="46"/>
        <v>0</v>
      </c>
      <c r="N253" s="801">
        <f t="shared" si="47"/>
        <v>0</v>
      </c>
    </row>
    <row r="254" spans="1:14" s="771" customFormat="1" ht="14.25" hidden="1">
      <c r="A254" s="742"/>
      <c r="B254" s="741"/>
      <c r="C254" s="742"/>
      <c r="D254" s="743"/>
      <c r="E254" s="802"/>
      <c r="F254" s="802"/>
      <c r="G254" s="802"/>
      <c r="H254" s="802"/>
      <c r="I254" s="802"/>
      <c r="J254" s="802"/>
      <c r="K254" s="802"/>
      <c r="L254" s="802"/>
      <c r="M254" s="800">
        <f t="shared" si="46"/>
        <v>0</v>
      </c>
      <c r="N254" s="801">
        <f t="shared" si="47"/>
        <v>0</v>
      </c>
    </row>
    <row r="255" spans="1:14" s="771" customFormat="1" ht="14.25" hidden="1">
      <c r="A255" s="742"/>
      <c r="B255" s="741"/>
      <c r="C255" s="878" t="s">
        <v>398</v>
      </c>
      <c r="D255" s="879" t="s">
        <v>518</v>
      </c>
      <c r="E255" s="880">
        <v>0</v>
      </c>
      <c r="F255" s="877"/>
      <c r="G255" s="803"/>
      <c r="H255" s="803"/>
      <c r="I255" s="803"/>
      <c r="J255" s="803"/>
      <c r="K255" s="803"/>
      <c r="L255" s="804">
        <v>0</v>
      </c>
      <c r="M255" s="800">
        <f t="shared" si="46"/>
        <v>0</v>
      </c>
      <c r="N255" s="801">
        <f t="shared" si="47"/>
        <v>0</v>
      </c>
    </row>
    <row r="256" spans="1:14" s="771" customFormat="1" ht="14.25" hidden="1">
      <c r="A256" s="795"/>
      <c r="B256" s="796"/>
      <c r="C256" s="881" t="s">
        <v>399</v>
      </c>
      <c r="D256" s="879" t="s">
        <v>497</v>
      </c>
      <c r="E256" s="882">
        <v>0</v>
      </c>
      <c r="F256" s="877"/>
      <c r="G256" s="803"/>
      <c r="H256" s="803"/>
      <c r="I256" s="803"/>
      <c r="J256" s="803"/>
      <c r="K256" s="803"/>
      <c r="L256" s="804">
        <v>0</v>
      </c>
      <c r="M256" s="800">
        <f t="shared" si="46"/>
        <v>0</v>
      </c>
      <c r="N256" s="801">
        <f t="shared" si="47"/>
        <v>0</v>
      </c>
    </row>
    <row r="257" spans="1:14" s="23" customFormat="1" ht="15">
      <c r="A257" s="175"/>
      <c r="B257" s="595" t="s">
        <v>649</v>
      </c>
      <c r="C257" s="175"/>
      <c r="D257" s="195" t="s">
        <v>650</v>
      </c>
      <c r="E257" s="184">
        <f>E258</f>
        <v>75500</v>
      </c>
      <c r="F257" s="184">
        <f aca="true" t="shared" si="50" ref="F257:L257">F258</f>
        <v>75500</v>
      </c>
      <c r="G257" s="184">
        <f t="shared" si="50"/>
        <v>0</v>
      </c>
      <c r="H257" s="184">
        <f t="shared" si="50"/>
        <v>0</v>
      </c>
      <c r="I257" s="184">
        <f t="shared" si="50"/>
        <v>75500</v>
      </c>
      <c r="J257" s="184">
        <f t="shared" si="50"/>
        <v>0</v>
      </c>
      <c r="K257" s="184">
        <f t="shared" si="50"/>
        <v>0</v>
      </c>
      <c r="L257" s="184">
        <f t="shared" si="50"/>
        <v>0</v>
      </c>
      <c r="M257" s="266">
        <f t="shared" si="46"/>
        <v>75500</v>
      </c>
      <c r="N257" s="265">
        <f t="shared" si="47"/>
        <v>0</v>
      </c>
    </row>
    <row r="258" spans="1:14" s="771" customFormat="1" ht="14.25" hidden="1">
      <c r="A258" s="742"/>
      <c r="B258" s="741"/>
      <c r="C258" s="742" t="s">
        <v>760</v>
      </c>
      <c r="D258" s="743" t="s">
        <v>761</v>
      </c>
      <c r="E258" s="762">
        <v>75500</v>
      </c>
      <c r="F258" s="762">
        <v>75500</v>
      </c>
      <c r="G258" s="762"/>
      <c r="H258" s="762"/>
      <c r="I258" s="762">
        <v>75500</v>
      </c>
      <c r="J258" s="762"/>
      <c r="K258" s="762"/>
      <c r="L258" s="762"/>
      <c r="M258" s="800">
        <f t="shared" si="46"/>
        <v>75500</v>
      </c>
      <c r="N258" s="801">
        <f t="shared" si="47"/>
        <v>0</v>
      </c>
    </row>
    <row r="259" spans="1:14" s="23" customFormat="1" ht="15.75" customHeight="1">
      <c r="A259" s="489"/>
      <c r="B259" s="655" t="s">
        <v>651</v>
      </c>
      <c r="C259" s="489"/>
      <c r="D259" s="656" t="s">
        <v>178</v>
      </c>
      <c r="E259" s="201">
        <f>SUM(E260:E266)</f>
        <v>70000</v>
      </c>
      <c r="F259" s="201">
        <f aca="true" t="shared" si="51" ref="F259:L259">SUM(F260:F266)</f>
        <v>10000</v>
      </c>
      <c r="G259" s="201">
        <f t="shared" si="51"/>
        <v>0</v>
      </c>
      <c r="H259" s="201">
        <f t="shared" si="51"/>
        <v>0</v>
      </c>
      <c r="I259" s="201">
        <f t="shared" si="51"/>
        <v>0</v>
      </c>
      <c r="J259" s="201">
        <f t="shared" si="51"/>
        <v>0</v>
      </c>
      <c r="K259" s="201">
        <f t="shared" si="51"/>
        <v>0</v>
      </c>
      <c r="L259" s="201">
        <f t="shared" si="51"/>
        <v>60000</v>
      </c>
      <c r="M259" s="266">
        <f t="shared" si="46"/>
        <v>70000</v>
      </c>
      <c r="N259" s="265">
        <f t="shared" si="47"/>
        <v>0</v>
      </c>
    </row>
    <row r="260" spans="1:14" s="771" customFormat="1" ht="14.25" hidden="1">
      <c r="A260" s="743"/>
      <c r="B260" s="805"/>
      <c r="C260" s="743">
        <v>4210</v>
      </c>
      <c r="D260" s="743" t="s">
        <v>764</v>
      </c>
      <c r="E260" s="762">
        <v>5000</v>
      </c>
      <c r="F260" s="762">
        <v>5000</v>
      </c>
      <c r="G260" s="762"/>
      <c r="H260" s="762"/>
      <c r="I260" s="762"/>
      <c r="J260" s="762"/>
      <c r="K260" s="762"/>
      <c r="L260" s="762"/>
      <c r="M260" s="800">
        <f t="shared" si="46"/>
        <v>5000</v>
      </c>
      <c r="N260" s="801">
        <f t="shared" si="47"/>
        <v>0</v>
      </c>
    </row>
    <row r="261" spans="1:14" s="771" customFormat="1" ht="25.5" hidden="1">
      <c r="A261" s="761"/>
      <c r="B261" s="776"/>
      <c r="C261" s="761">
        <v>6050</v>
      </c>
      <c r="D261" s="761" t="s">
        <v>713</v>
      </c>
      <c r="E261" s="762">
        <v>60000</v>
      </c>
      <c r="F261" s="762"/>
      <c r="G261" s="762"/>
      <c r="H261" s="762"/>
      <c r="I261" s="762"/>
      <c r="J261" s="762"/>
      <c r="K261" s="762"/>
      <c r="L261" s="762">
        <v>60000</v>
      </c>
      <c r="M261" s="800">
        <f t="shared" si="46"/>
        <v>60000</v>
      </c>
      <c r="N261" s="801">
        <f t="shared" si="47"/>
        <v>0</v>
      </c>
    </row>
    <row r="262" spans="1:14" s="809" customFormat="1" ht="14.25" hidden="1">
      <c r="A262" s="774"/>
      <c r="B262" s="836"/>
      <c r="C262" s="821">
        <v>4300</v>
      </c>
      <c r="D262" s="821" t="s">
        <v>519</v>
      </c>
      <c r="E262" s="824">
        <v>5000</v>
      </c>
      <c r="F262" s="824">
        <v>5000</v>
      </c>
      <c r="G262" s="824"/>
      <c r="H262" s="806"/>
      <c r="I262" s="806"/>
      <c r="J262" s="806"/>
      <c r="K262" s="806"/>
      <c r="L262" s="806"/>
      <c r="M262" s="807">
        <f t="shared" si="46"/>
        <v>5000</v>
      </c>
      <c r="N262" s="808">
        <f t="shared" si="47"/>
        <v>0</v>
      </c>
    </row>
    <row r="263" spans="1:14" s="254" customFormat="1" ht="15" hidden="1">
      <c r="A263" s="733"/>
      <c r="B263" s="740"/>
      <c r="C263" s="733"/>
      <c r="D263" s="733"/>
      <c r="E263" s="725"/>
      <c r="F263" s="725"/>
      <c r="G263" s="725"/>
      <c r="H263" s="725"/>
      <c r="I263" s="725"/>
      <c r="J263" s="725"/>
      <c r="K263" s="725"/>
      <c r="L263" s="725"/>
      <c r="M263" s="267">
        <f t="shared" si="46"/>
        <v>0</v>
      </c>
      <c r="N263" s="268">
        <f t="shared" si="47"/>
        <v>0</v>
      </c>
    </row>
    <row r="264" spans="1:14" s="254" customFormat="1" ht="15" hidden="1">
      <c r="A264" s="733"/>
      <c r="B264" s="740"/>
      <c r="C264" s="733"/>
      <c r="D264" s="733"/>
      <c r="E264" s="725"/>
      <c r="F264" s="725"/>
      <c r="G264" s="725"/>
      <c r="H264" s="725"/>
      <c r="I264" s="725"/>
      <c r="J264" s="725"/>
      <c r="K264" s="725"/>
      <c r="L264" s="725"/>
      <c r="M264" s="267">
        <f t="shared" si="46"/>
        <v>0</v>
      </c>
      <c r="N264" s="268">
        <f t="shared" si="47"/>
        <v>0</v>
      </c>
    </row>
    <row r="265" spans="1:14" s="254" customFormat="1" ht="15" hidden="1">
      <c r="A265" s="733"/>
      <c r="B265" s="740"/>
      <c r="C265" s="733"/>
      <c r="D265" s="733"/>
      <c r="E265" s="725"/>
      <c r="F265" s="725"/>
      <c r="G265" s="725"/>
      <c r="H265" s="725"/>
      <c r="I265" s="725"/>
      <c r="J265" s="725"/>
      <c r="K265" s="725"/>
      <c r="L265" s="725"/>
      <c r="M265" s="267">
        <f t="shared" si="46"/>
        <v>0</v>
      </c>
      <c r="N265" s="268">
        <f t="shared" si="47"/>
        <v>0</v>
      </c>
    </row>
    <row r="266" spans="1:14" s="254" customFormat="1" ht="15" hidden="1">
      <c r="A266" s="733"/>
      <c r="B266" s="740"/>
      <c r="C266" s="733"/>
      <c r="D266" s="733"/>
      <c r="E266" s="725"/>
      <c r="F266" s="725"/>
      <c r="G266" s="725"/>
      <c r="H266" s="725"/>
      <c r="I266" s="725"/>
      <c r="J266" s="725"/>
      <c r="K266" s="725"/>
      <c r="L266" s="725"/>
      <c r="M266" s="267">
        <f t="shared" si="46"/>
        <v>0</v>
      </c>
      <c r="N266" s="268">
        <f t="shared" si="47"/>
        <v>0</v>
      </c>
    </row>
    <row r="267" spans="1:12" s="254" customFormat="1" ht="12.75" hidden="1">
      <c r="A267" s="733"/>
      <c r="B267" s="740"/>
      <c r="C267" s="733"/>
      <c r="D267" s="733"/>
      <c r="E267" s="725"/>
      <c r="F267" s="725"/>
      <c r="G267" s="725"/>
      <c r="H267" s="725"/>
      <c r="I267" s="725"/>
      <c r="J267" s="725"/>
      <c r="K267" s="725"/>
      <c r="L267" s="725"/>
    </row>
    <row r="268" spans="1:12" s="254" customFormat="1" ht="12.75" hidden="1">
      <c r="A268" s="733"/>
      <c r="B268" s="740"/>
      <c r="C268" s="733"/>
      <c r="D268" s="733"/>
      <c r="E268" s="725"/>
      <c r="F268" s="725"/>
      <c r="G268" s="725"/>
      <c r="H268" s="725"/>
      <c r="I268" s="725"/>
      <c r="J268" s="725"/>
      <c r="K268" s="725"/>
      <c r="L268" s="725"/>
    </row>
    <row r="269" spans="1:13" s="618" customFormat="1" ht="12.75" hidden="1">
      <c r="A269" s="744"/>
      <c r="B269" s="745"/>
      <c r="C269" s="744"/>
      <c r="D269" s="744"/>
      <c r="E269" s="746"/>
      <c r="F269" s="747"/>
      <c r="G269" s="747"/>
      <c r="H269" s="747"/>
      <c r="I269" s="747"/>
      <c r="J269" s="747"/>
      <c r="K269" s="747"/>
      <c r="L269" s="747"/>
      <c r="M269" s="748"/>
    </row>
    <row r="270" spans="1:12" s="274" customFormat="1" ht="15">
      <c r="A270" s="1171" t="s">
        <v>139</v>
      </c>
      <c r="B270" s="1171"/>
      <c r="C270" s="1171"/>
      <c r="D270" s="1171"/>
      <c r="E270" s="657">
        <f aca="true" t="shared" si="52" ref="E270:L270">E247+E229+E193+E189+E180+E177+E168+E160+E158+E146+E129+E127+E89+E78+E68+E44+E19+E8</f>
        <v>13792507</v>
      </c>
      <c r="F270" s="657">
        <f t="shared" si="52"/>
        <v>9578782</v>
      </c>
      <c r="G270" s="657">
        <f t="shared" si="52"/>
        <v>3460153</v>
      </c>
      <c r="H270" s="657">
        <f t="shared" si="52"/>
        <v>648381</v>
      </c>
      <c r="I270" s="657">
        <f t="shared" si="52"/>
        <v>651750</v>
      </c>
      <c r="J270" s="657">
        <f t="shared" si="52"/>
        <v>140000</v>
      </c>
      <c r="K270" s="657">
        <f t="shared" si="52"/>
        <v>0</v>
      </c>
      <c r="L270" s="657">
        <f t="shared" si="52"/>
        <v>4213725</v>
      </c>
    </row>
  </sheetData>
  <mergeCells count="16">
    <mergeCell ref="A270:D270"/>
    <mergeCell ref="D4:D6"/>
    <mergeCell ref="C4:C6"/>
    <mergeCell ref="B4:B6"/>
    <mergeCell ref="A4:A6"/>
    <mergeCell ref="A14:B14"/>
    <mergeCell ref="A237:B237"/>
    <mergeCell ref="A56:B56"/>
    <mergeCell ref="A60:B60"/>
    <mergeCell ref="L5:L6"/>
    <mergeCell ref="E4:E6"/>
    <mergeCell ref="A2:K2"/>
    <mergeCell ref="K1:L1"/>
    <mergeCell ref="F4:L4"/>
    <mergeCell ref="F5:F6"/>
    <mergeCell ref="G5:K5"/>
  </mergeCells>
  <printOptions horizontalCentered="1"/>
  <pageMargins left="0.31" right="0.26" top="0.6" bottom="0.53" header="0.22" footer="0.33"/>
  <pageSetup horizontalDpi="600" verticalDpi="600" orientation="landscape" paperSize="9" scale="90" r:id="rId1"/>
  <headerFooter alignWithMargins="0">
    <oddFooter>&amp;CStrona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5">
    <tabColor indexed="42"/>
  </sheetPr>
  <dimension ref="A1:G51"/>
  <sheetViews>
    <sheetView showGridLines="0" workbookViewId="0" topLeftCell="A1">
      <selection activeCell="A3" sqref="A3"/>
    </sheetView>
  </sheetViews>
  <sheetFormatPr defaultColWidth="9.00390625" defaultRowHeight="12.75"/>
  <cols>
    <col min="1" max="1" width="4.75390625" style="2" bestFit="1" customWidth="1"/>
    <col min="2" max="2" width="44.625" style="2" customWidth="1"/>
    <col min="3" max="3" width="14.00390625" style="2" customWidth="1"/>
    <col min="4" max="4" width="21.875" style="2" customWidth="1"/>
    <col min="5" max="5" width="9.125" style="2" customWidth="1"/>
    <col min="6" max="6" width="12.375" style="2" customWidth="1"/>
    <col min="7" max="16384" width="9.125" style="2" customWidth="1"/>
  </cols>
  <sheetData>
    <row r="1" ht="60" customHeight="1">
      <c r="D1" s="37" t="s">
        <v>857</v>
      </c>
    </row>
    <row r="2" spans="1:7" ht="53.25" customHeight="1">
      <c r="A2" s="1187" t="s">
        <v>904</v>
      </c>
      <c r="B2" s="1188"/>
      <c r="C2" s="1188"/>
      <c r="D2" s="1188"/>
      <c r="E2" s="8"/>
      <c r="F2" s="8"/>
      <c r="G2" s="39"/>
    </row>
    <row r="3" ht="9.75" customHeight="1">
      <c r="D3" s="38" t="s">
        <v>92</v>
      </c>
    </row>
    <row r="4" spans="1:4" ht="64.5" customHeight="1">
      <c r="A4" s="1087" t="s">
        <v>112</v>
      </c>
      <c r="B4" s="1087" t="s">
        <v>55</v>
      </c>
      <c r="C4" s="1088" t="s">
        <v>113</v>
      </c>
      <c r="D4" s="1088" t="s">
        <v>905</v>
      </c>
    </row>
    <row r="5" spans="1:4" s="25" customFormat="1" ht="10.5" customHeight="1" thickBot="1">
      <c r="A5" s="614">
        <v>1</v>
      </c>
      <c r="B5" s="614">
        <v>2</v>
      </c>
      <c r="C5" s="614">
        <v>3</v>
      </c>
      <c r="D5" s="614">
        <v>4</v>
      </c>
    </row>
    <row r="6" spans="1:7" ht="18.75" customHeight="1" thickBot="1">
      <c r="A6" s="1183" t="s">
        <v>76</v>
      </c>
      <c r="B6" s="1184"/>
      <c r="C6" s="615"/>
      <c r="D6" s="332">
        <f>D7+D19+D20+D26+D27+D28+D29+D30</f>
        <v>3283068</v>
      </c>
      <c r="E6" s="159"/>
      <c r="G6" s="159"/>
    </row>
    <row r="7" spans="1:4" ht="18.75" customHeight="1">
      <c r="A7" s="286" t="s">
        <v>63</v>
      </c>
      <c r="B7" s="610" t="s">
        <v>71</v>
      </c>
      <c r="C7" s="286" t="s">
        <v>77</v>
      </c>
      <c r="D7" s="611">
        <f>SUM(D8:D18)</f>
        <v>1072200</v>
      </c>
    </row>
    <row r="8" spans="1:4" s="326" customFormat="1" ht="14.25" customHeight="1" hidden="1">
      <c r="A8" s="865"/>
      <c r="B8" s="866" t="s">
        <v>701</v>
      </c>
      <c r="C8" s="865"/>
      <c r="D8" s="867">
        <f>2!L123</f>
        <v>298500</v>
      </c>
    </row>
    <row r="9" spans="1:4" s="326" customFormat="1" ht="14.25" customHeight="1" hidden="1">
      <c r="A9" s="865"/>
      <c r="B9" s="866" t="s">
        <v>702</v>
      </c>
      <c r="C9" s="865"/>
      <c r="D9" s="867">
        <v>93600</v>
      </c>
    </row>
    <row r="10" spans="1:4" s="326" customFormat="1" ht="14.25" customHeight="1" hidden="1">
      <c r="A10" s="865"/>
      <c r="B10" s="866" t="s">
        <v>504</v>
      </c>
      <c r="C10" s="865"/>
      <c r="D10" s="867">
        <v>100000</v>
      </c>
    </row>
    <row r="11" spans="1:4" s="326" customFormat="1" ht="14.25" customHeight="1" hidden="1">
      <c r="A11" s="865"/>
      <c r="B11" s="866" t="s">
        <v>273</v>
      </c>
      <c r="C11" s="865"/>
      <c r="D11" s="867">
        <v>60100</v>
      </c>
    </row>
    <row r="12" spans="1:4" s="326" customFormat="1" ht="14.25" customHeight="1" hidden="1">
      <c r="A12" s="865"/>
      <c r="B12" s="866" t="s">
        <v>515</v>
      </c>
      <c r="C12" s="865"/>
      <c r="D12" s="867">
        <v>100000</v>
      </c>
    </row>
    <row r="13" spans="1:4" s="326" customFormat="1" ht="14.25" customHeight="1" hidden="1">
      <c r="A13" s="865"/>
      <c r="B13" s="866" t="s">
        <v>502</v>
      </c>
      <c r="C13" s="865"/>
      <c r="D13" s="867">
        <v>200000</v>
      </c>
    </row>
    <row r="14" spans="1:4" s="326" customFormat="1" ht="14.25" customHeight="1" hidden="1">
      <c r="A14" s="865"/>
      <c r="B14" s="866" t="s">
        <v>508</v>
      </c>
      <c r="C14" s="865"/>
      <c r="D14" s="867">
        <v>100000</v>
      </c>
    </row>
    <row r="15" spans="1:4" s="326" customFormat="1" ht="14.25" customHeight="1" hidden="1">
      <c r="A15" s="865"/>
      <c r="B15" s="866" t="s">
        <v>272</v>
      </c>
      <c r="C15" s="865" t="s">
        <v>514</v>
      </c>
      <c r="D15" s="867">
        <v>25000</v>
      </c>
    </row>
    <row r="16" spans="1:4" s="326" customFormat="1" ht="14.25" customHeight="1" hidden="1">
      <c r="A16" s="865"/>
      <c r="B16" s="866"/>
      <c r="C16" s="865" t="s">
        <v>503</v>
      </c>
      <c r="D16" s="867">
        <v>30000</v>
      </c>
    </row>
    <row r="17" spans="1:4" s="326" customFormat="1" ht="14.25" customHeight="1" hidden="1">
      <c r="A17" s="865"/>
      <c r="B17" s="866"/>
      <c r="C17" s="865" t="s">
        <v>516</v>
      </c>
      <c r="D17" s="867">
        <v>25000</v>
      </c>
    </row>
    <row r="18" spans="1:4" s="326" customFormat="1" ht="14.25" customHeight="1" hidden="1">
      <c r="A18" s="865"/>
      <c r="B18" s="866"/>
      <c r="C18" s="865" t="s">
        <v>271</v>
      </c>
      <c r="D18" s="867">
        <v>40000</v>
      </c>
    </row>
    <row r="19" spans="1:4" ht="18.75" customHeight="1">
      <c r="A19" s="11" t="s">
        <v>64</v>
      </c>
      <c r="B19" s="12" t="s">
        <v>72</v>
      </c>
      <c r="C19" s="11" t="s">
        <v>77</v>
      </c>
      <c r="D19" s="245">
        <v>0</v>
      </c>
    </row>
    <row r="20" spans="1:6" ht="25.5">
      <c r="A20" s="11" t="s">
        <v>65</v>
      </c>
      <c r="B20" s="13" t="s">
        <v>125</v>
      </c>
      <c r="C20" s="11" t="s">
        <v>103</v>
      </c>
      <c r="D20" s="245">
        <f>SUM(D21:D25)</f>
        <v>1570868</v>
      </c>
      <c r="E20" s="159"/>
      <c r="F20" s="159"/>
    </row>
    <row r="21" spans="1:5" ht="12.75" hidden="1">
      <c r="A21" s="11"/>
      <c r="B21" s="324" t="s">
        <v>703</v>
      </c>
      <c r="C21" s="323"/>
      <c r="D21" s="325">
        <v>1031900</v>
      </c>
      <c r="E21" s="159"/>
    </row>
    <row r="22" spans="1:5" ht="12.75" hidden="1">
      <c r="A22" s="11"/>
      <c r="B22" s="324" t="s">
        <v>704</v>
      </c>
      <c r="C22" s="323"/>
      <c r="D22" s="325">
        <v>268968</v>
      </c>
      <c r="E22" s="159"/>
    </row>
    <row r="23" spans="1:5" ht="12.75" hidden="1">
      <c r="A23" s="11"/>
      <c r="B23" s="324" t="s">
        <v>705</v>
      </c>
      <c r="C23" s="323"/>
      <c r="D23" s="325">
        <v>150000</v>
      </c>
      <c r="E23" s="159"/>
    </row>
    <row r="24" spans="1:5" ht="12.75" hidden="1">
      <c r="A24" s="11"/>
      <c r="B24" s="324" t="s">
        <v>706</v>
      </c>
      <c r="C24" s="323"/>
      <c r="D24" s="325">
        <v>75000</v>
      </c>
      <c r="E24" s="159"/>
    </row>
    <row r="25" spans="1:5" ht="12.75" hidden="1">
      <c r="A25" s="11"/>
      <c r="B25" s="324" t="s">
        <v>707</v>
      </c>
      <c r="C25" s="327"/>
      <c r="D25" s="325">
        <v>45000</v>
      </c>
      <c r="E25" s="159"/>
    </row>
    <row r="26" spans="1:4" ht="18.75" customHeight="1">
      <c r="A26" s="11" t="s">
        <v>51</v>
      </c>
      <c r="B26" s="12" t="s">
        <v>79</v>
      </c>
      <c r="C26" s="11" t="s">
        <v>104</v>
      </c>
      <c r="D26" s="245">
        <v>40000</v>
      </c>
    </row>
    <row r="27" spans="1:4" ht="18.75" customHeight="1">
      <c r="A27" s="11" t="s">
        <v>70</v>
      </c>
      <c r="B27" s="12" t="s">
        <v>126</v>
      </c>
      <c r="C27" s="11" t="s">
        <v>132</v>
      </c>
      <c r="D27" s="245">
        <v>0</v>
      </c>
    </row>
    <row r="28" spans="1:4" ht="18.75" customHeight="1">
      <c r="A28" s="11" t="s">
        <v>73</v>
      </c>
      <c r="B28" s="12" t="s">
        <v>74</v>
      </c>
      <c r="C28" s="11" t="s">
        <v>78</v>
      </c>
      <c r="D28" s="245">
        <v>0</v>
      </c>
    </row>
    <row r="29" spans="1:4" ht="18.75" customHeight="1">
      <c r="A29" s="11" t="s">
        <v>75</v>
      </c>
      <c r="B29" s="12" t="s">
        <v>135</v>
      </c>
      <c r="C29" s="11" t="s">
        <v>118</v>
      </c>
      <c r="D29" s="245">
        <v>0</v>
      </c>
    </row>
    <row r="30" spans="1:4" ht="18.75" customHeight="1">
      <c r="A30" s="14" t="s">
        <v>81</v>
      </c>
      <c r="B30" s="15" t="s">
        <v>102</v>
      </c>
      <c r="C30" s="14" t="s">
        <v>80</v>
      </c>
      <c r="D30" s="246">
        <v>600000</v>
      </c>
    </row>
    <row r="31" spans="1:6" ht="18.75" customHeight="1" thickBot="1">
      <c r="A31" s="1185" t="s">
        <v>127</v>
      </c>
      <c r="B31" s="1186"/>
      <c r="C31" s="612"/>
      <c r="D31" s="613">
        <f>SUM(D32:D34)+D45+D47+D48+D49</f>
        <v>216968</v>
      </c>
      <c r="E31" s="159"/>
      <c r="F31" s="159"/>
    </row>
    <row r="32" spans="1:4" ht="18.75" customHeight="1">
      <c r="A32" s="286" t="s">
        <v>63</v>
      </c>
      <c r="B32" s="610" t="s">
        <v>105</v>
      </c>
      <c r="C32" s="286" t="s">
        <v>83</v>
      </c>
      <c r="D32" s="611">
        <v>176968</v>
      </c>
    </row>
    <row r="33" spans="1:4" ht="18.75" customHeight="1">
      <c r="A33" s="11" t="s">
        <v>64</v>
      </c>
      <c r="B33" s="12" t="s">
        <v>82</v>
      </c>
      <c r="C33" s="11" t="s">
        <v>83</v>
      </c>
      <c r="D33" s="245">
        <v>0</v>
      </c>
    </row>
    <row r="34" spans="1:6" ht="38.25">
      <c r="A34" s="11" t="s">
        <v>65</v>
      </c>
      <c r="B34" s="13" t="s">
        <v>108</v>
      </c>
      <c r="C34" s="11" t="s">
        <v>109</v>
      </c>
      <c r="D34" s="245">
        <v>0</v>
      </c>
      <c r="E34" s="159"/>
      <c r="F34" s="159"/>
    </row>
    <row r="35" spans="1:4" s="326" customFormat="1" ht="12.75" hidden="1">
      <c r="A35" s="323"/>
      <c r="B35" s="869" t="s">
        <v>708</v>
      </c>
      <c r="C35" s="442"/>
      <c r="D35" s="870">
        <v>25815</v>
      </c>
    </row>
    <row r="36" spans="1:4" s="326" customFormat="1" ht="12.75" hidden="1">
      <c r="A36" s="323"/>
      <c r="B36" s="869" t="s">
        <v>712</v>
      </c>
      <c r="C36" s="442"/>
      <c r="D36" s="870">
        <v>21879</v>
      </c>
    </row>
    <row r="37" spans="1:4" s="326" customFormat="1" ht="12.75" hidden="1">
      <c r="A37" s="323"/>
      <c r="B37" s="869" t="s">
        <v>709</v>
      </c>
      <c r="C37" s="442"/>
      <c r="D37" s="870">
        <v>12095</v>
      </c>
    </row>
    <row r="38" spans="1:4" s="326" customFormat="1" ht="12.75" hidden="1">
      <c r="A38" s="323"/>
      <c r="B38" s="869" t="s">
        <v>710</v>
      </c>
      <c r="C38" s="442"/>
      <c r="D38" s="870">
        <v>48384</v>
      </c>
    </row>
    <row r="39" spans="1:4" s="326" customFormat="1" ht="12.75" hidden="1">
      <c r="A39" s="323"/>
      <c r="B39" s="869" t="s">
        <v>717</v>
      </c>
      <c r="C39" s="442"/>
      <c r="D39" s="870">
        <v>5971</v>
      </c>
    </row>
    <row r="40" spans="1:4" s="326" customFormat="1" ht="12.75" hidden="1">
      <c r="A40" s="323"/>
      <c r="B40" s="869" t="s">
        <v>711</v>
      </c>
      <c r="C40" s="871"/>
      <c r="D40" s="870">
        <v>62824</v>
      </c>
    </row>
    <row r="41" spans="1:4" s="326" customFormat="1" ht="12.75" hidden="1">
      <c r="A41" s="323"/>
      <c r="B41" s="324"/>
      <c r="C41" s="327"/>
      <c r="D41" s="325"/>
    </row>
    <row r="42" spans="1:4" s="326" customFormat="1" ht="12.75" hidden="1">
      <c r="A42" s="323"/>
      <c r="B42" s="324"/>
      <c r="C42" s="327"/>
      <c r="D42" s="325"/>
    </row>
    <row r="43" spans="1:4" s="326" customFormat="1" ht="12.75" hidden="1">
      <c r="A43" s="323"/>
      <c r="B43" s="324"/>
      <c r="C43" s="327"/>
      <c r="D43" s="325"/>
    </row>
    <row r="44" spans="1:4" s="326" customFormat="1" ht="12.75" hidden="1">
      <c r="A44" s="323"/>
      <c r="B44" s="324"/>
      <c r="C44" s="323"/>
      <c r="D44" s="325"/>
    </row>
    <row r="45" spans="1:4" ht="18.75" customHeight="1">
      <c r="A45" s="11" t="s">
        <v>51</v>
      </c>
      <c r="B45" s="12" t="s">
        <v>106</v>
      </c>
      <c r="C45" s="11" t="s">
        <v>100</v>
      </c>
      <c r="D45" s="245">
        <v>40000</v>
      </c>
    </row>
    <row r="46" spans="1:4" s="326" customFormat="1" ht="15.75" customHeight="1" hidden="1">
      <c r="A46" s="323"/>
      <c r="B46" s="868" t="s">
        <v>804</v>
      </c>
      <c r="C46" s="323"/>
      <c r="D46" s="325">
        <v>40000</v>
      </c>
    </row>
    <row r="47" spans="1:4" ht="18.75" customHeight="1">
      <c r="A47" s="11" t="s">
        <v>70</v>
      </c>
      <c r="B47" s="12" t="s">
        <v>107</v>
      </c>
      <c r="C47" s="11" t="s">
        <v>85</v>
      </c>
      <c r="D47" s="245">
        <v>0</v>
      </c>
    </row>
    <row r="48" spans="1:4" ht="18.75" customHeight="1">
      <c r="A48" s="11" t="s">
        <v>73</v>
      </c>
      <c r="B48" s="12" t="s">
        <v>136</v>
      </c>
      <c r="C48" s="11" t="s">
        <v>86</v>
      </c>
      <c r="D48" s="245">
        <v>0</v>
      </c>
    </row>
    <row r="49" spans="1:4" ht="18.75" customHeight="1">
      <c r="A49" s="14" t="s">
        <v>75</v>
      </c>
      <c r="B49" s="15" t="s">
        <v>87</v>
      </c>
      <c r="C49" s="14" t="s">
        <v>84</v>
      </c>
      <c r="D49" s="246">
        <v>0</v>
      </c>
    </row>
    <row r="50" spans="1:4" ht="7.5" customHeight="1">
      <c r="A50" s="4"/>
      <c r="B50" s="5"/>
      <c r="C50" s="5"/>
      <c r="D50" s="5"/>
    </row>
    <row r="51" spans="1:6" ht="12.75">
      <c r="A51" s="22"/>
      <c r="B51" s="21"/>
      <c r="C51" s="21"/>
      <c r="D51" s="21"/>
      <c r="E51" s="20"/>
      <c r="F51" s="20"/>
    </row>
  </sheetData>
  <mergeCells count="3">
    <mergeCell ref="A6:B6"/>
    <mergeCell ref="A31:B31"/>
    <mergeCell ref="A2:D2"/>
  </mergeCells>
  <printOptions horizontalCentered="1"/>
  <pageMargins left="0.57" right="0.22" top="0.16" bottom="0.5" header="0.07" footer="0.47"/>
  <pageSetup horizontalDpi="600" verticalDpi="600" orientation="portrait" paperSize="9" scale="95" r:id="rId1"/>
  <headerFooter alignWithMargins="0">
    <oddFooter>&amp;CStrona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6">
    <tabColor indexed="42"/>
  </sheetPr>
  <dimension ref="A1:N166"/>
  <sheetViews>
    <sheetView showGridLines="0" view="pageBreakPreview" zoomScale="85" zoomScaleNormal="85" zoomScaleSheetLayoutView="85" workbookViewId="0" topLeftCell="A1">
      <selection activeCell="A3" sqref="A3"/>
    </sheetView>
  </sheetViews>
  <sheetFormatPr defaultColWidth="9.00390625" defaultRowHeight="12.75"/>
  <cols>
    <col min="1" max="1" width="4.00390625" style="2" customWidth="1"/>
    <col min="2" max="2" width="7.625" style="2" customWidth="1"/>
    <col min="3" max="3" width="8.25390625" style="2" customWidth="1"/>
    <col min="4" max="4" width="6.375" style="3" customWidth="1"/>
    <col min="5" max="5" width="24.625" style="3" customWidth="1"/>
    <col min="6" max="6" width="15.625" style="2" customWidth="1"/>
    <col min="7" max="7" width="15.625" style="3" customWidth="1"/>
    <col min="8" max="8" width="14.125" style="2" customWidth="1"/>
    <col min="9" max="9" width="14.00390625" style="2" customWidth="1"/>
    <col min="10" max="10" width="10.625" style="984" hidden="1" customWidth="1"/>
    <col min="11" max="11" width="10.625" style="545" customWidth="1"/>
    <col min="12" max="13" width="12.75390625" style="545" customWidth="1"/>
    <col min="14" max="14" width="12.75390625" style="574" customWidth="1"/>
    <col min="15" max="16384" width="9.125" style="5" customWidth="1"/>
  </cols>
  <sheetData>
    <row r="1" spans="12:14" ht="46.5" customHeight="1">
      <c r="L1" s="1295" t="s">
        <v>858</v>
      </c>
      <c r="M1" s="1295"/>
      <c r="N1" s="668"/>
    </row>
    <row r="2" spans="1:10" ht="38.25" customHeight="1">
      <c r="A2" s="1296" t="s">
        <v>906</v>
      </c>
      <c r="B2" s="1297"/>
      <c r="C2" s="1297"/>
      <c r="D2" s="1297"/>
      <c r="E2" s="1297"/>
      <c r="F2" s="1297"/>
      <c r="G2" s="1297"/>
      <c r="H2" s="1297"/>
      <c r="I2" s="1297"/>
      <c r="J2" s="1297"/>
    </row>
    <row r="3" spans="1:14" ht="10.5" customHeight="1" thickBot="1">
      <c r="A3" s="32"/>
      <c r="B3" s="32"/>
      <c r="C3" s="32"/>
      <c r="D3" s="32"/>
      <c r="E3" s="32"/>
      <c r="F3" s="32"/>
      <c r="G3" s="32"/>
      <c r="H3" s="32"/>
      <c r="I3" s="32"/>
      <c r="K3" s="1091"/>
      <c r="L3" s="1091"/>
      <c r="M3" s="1091"/>
      <c r="N3" s="1092" t="s">
        <v>92</v>
      </c>
    </row>
    <row r="4" spans="1:14" s="674" customFormat="1" ht="52.5" customHeight="1">
      <c r="A4" s="1293" t="s">
        <v>112</v>
      </c>
      <c r="B4" s="1288" t="s">
        <v>52</v>
      </c>
      <c r="C4" s="1288" t="s">
        <v>91</v>
      </c>
      <c r="D4" s="1288" t="s">
        <v>54</v>
      </c>
      <c r="E4" s="1286" t="s">
        <v>131</v>
      </c>
      <c r="F4" s="1291" t="s">
        <v>130</v>
      </c>
      <c r="G4" s="1286" t="s">
        <v>142</v>
      </c>
      <c r="H4" s="1286" t="s">
        <v>144</v>
      </c>
      <c r="I4" s="1286" t="s">
        <v>168</v>
      </c>
      <c r="J4" s="985" t="s">
        <v>567</v>
      </c>
      <c r="K4" s="1298" t="s">
        <v>119</v>
      </c>
      <c r="L4" s="1298"/>
      <c r="M4" s="1298"/>
      <c r="N4" s="1299"/>
    </row>
    <row r="5" spans="1:14" s="674" customFormat="1" ht="25.5" customHeight="1">
      <c r="A5" s="1294"/>
      <c r="B5" s="1289"/>
      <c r="C5" s="1289"/>
      <c r="D5" s="1289"/>
      <c r="E5" s="1290"/>
      <c r="F5" s="1292"/>
      <c r="G5" s="1287"/>
      <c r="H5" s="1290"/>
      <c r="I5" s="1290"/>
      <c r="J5" s="986" t="s">
        <v>110</v>
      </c>
      <c r="K5" s="696" t="s">
        <v>111</v>
      </c>
      <c r="L5" s="696" t="s">
        <v>143</v>
      </c>
      <c r="M5" s="976" t="s">
        <v>564</v>
      </c>
      <c r="N5" s="703" t="s">
        <v>565</v>
      </c>
    </row>
    <row r="6" spans="1:14" s="675" customFormat="1" ht="8.25" customHeight="1" thickBot="1">
      <c r="A6" s="704">
        <v>1</v>
      </c>
      <c r="B6" s="705">
        <v>2</v>
      </c>
      <c r="C6" s="705">
        <v>3</v>
      </c>
      <c r="D6" s="705">
        <v>4</v>
      </c>
      <c r="E6" s="705">
        <v>5</v>
      </c>
      <c r="F6" s="705">
        <v>6</v>
      </c>
      <c r="G6" s="705">
        <v>7</v>
      </c>
      <c r="H6" s="705">
        <v>8</v>
      </c>
      <c r="I6" s="705">
        <v>9</v>
      </c>
      <c r="J6" s="987">
        <v>10</v>
      </c>
      <c r="K6" s="705">
        <v>11</v>
      </c>
      <c r="L6" s="705">
        <v>12</v>
      </c>
      <c r="M6" s="977"/>
      <c r="N6" s="706">
        <v>13</v>
      </c>
    </row>
    <row r="7" spans="1:14" ht="13.5" customHeight="1">
      <c r="A7" s="1222">
        <v>1</v>
      </c>
      <c r="B7" s="1272" t="s">
        <v>327</v>
      </c>
      <c r="C7" s="1272" t="s">
        <v>380</v>
      </c>
      <c r="D7" s="1227" t="s">
        <v>367</v>
      </c>
      <c r="E7" s="1227" t="s">
        <v>674</v>
      </c>
      <c r="F7" s="1213" t="s">
        <v>666</v>
      </c>
      <c r="G7" s="1213" t="s">
        <v>566</v>
      </c>
      <c r="H7" s="1219">
        <v>435000</v>
      </c>
      <c r="I7" s="680" t="s">
        <v>166</v>
      </c>
      <c r="J7" s="988"/>
      <c r="K7" s="697">
        <v>66000</v>
      </c>
      <c r="L7" s="697">
        <v>250000</v>
      </c>
      <c r="M7" s="1093">
        <v>119000</v>
      </c>
      <c r="N7" s="1009">
        <v>0</v>
      </c>
    </row>
    <row r="8" spans="1:14" ht="13.5" customHeight="1">
      <c r="A8" s="1222"/>
      <c r="B8" s="1272"/>
      <c r="C8" s="1272"/>
      <c r="D8" s="1213"/>
      <c r="E8" s="1227"/>
      <c r="F8" s="1213"/>
      <c r="G8" s="1216"/>
      <c r="H8" s="1219"/>
      <c r="I8" s="678" t="s">
        <v>150</v>
      </c>
      <c r="J8" s="989">
        <f>J7*25%</f>
        <v>0</v>
      </c>
      <c r="K8" s="233">
        <v>21000</v>
      </c>
      <c r="L8" s="233">
        <f>L7*25%</f>
        <v>62500</v>
      </c>
      <c r="M8" s="233">
        <f>M7*25%</f>
        <v>29750</v>
      </c>
      <c r="N8" s="707"/>
    </row>
    <row r="9" spans="1:14" ht="24.75" customHeight="1">
      <c r="A9" s="1222"/>
      <c r="B9" s="1272"/>
      <c r="C9" s="1272"/>
      <c r="D9" s="1213"/>
      <c r="E9" s="1227"/>
      <c r="F9" s="1213"/>
      <c r="G9" s="1216"/>
      <c r="H9" s="1219"/>
      <c r="I9" s="698" t="s">
        <v>167</v>
      </c>
      <c r="J9" s="989">
        <v>0</v>
      </c>
      <c r="K9" s="233">
        <v>45000</v>
      </c>
      <c r="L9" s="233">
        <v>0</v>
      </c>
      <c r="M9" s="978"/>
      <c r="N9" s="707">
        <v>0</v>
      </c>
    </row>
    <row r="10" spans="1:14" ht="13.5" customHeight="1">
      <c r="A10" s="1223"/>
      <c r="B10" s="1273"/>
      <c r="C10" s="1273"/>
      <c r="D10" s="1214"/>
      <c r="E10" s="1228"/>
      <c r="F10" s="1214"/>
      <c r="G10" s="1217"/>
      <c r="H10" s="1220"/>
      <c r="I10" s="679" t="s">
        <v>151</v>
      </c>
      <c r="J10" s="990">
        <f>J7*75%</f>
        <v>0</v>
      </c>
      <c r="K10" s="234"/>
      <c r="L10" s="234">
        <f>L7*75%</f>
        <v>187500</v>
      </c>
      <c r="M10" s="234">
        <f>M7*75%</f>
        <v>89250</v>
      </c>
      <c r="N10" s="708">
        <v>0</v>
      </c>
    </row>
    <row r="11" spans="1:14" s="1001" customFormat="1" ht="13.5" customHeight="1" hidden="1">
      <c r="A11" s="1240">
        <v>2</v>
      </c>
      <c r="B11" s="1266" t="s">
        <v>327</v>
      </c>
      <c r="C11" s="1266" t="s">
        <v>380</v>
      </c>
      <c r="D11" s="1269"/>
      <c r="E11" s="1270" t="s">
        <v>694</v>
      </c>
      <c r="F11" s="1269" t="s">
        <v>666</v>
      </c>
      <c r="G11" s="1269"/>
      <c r="H11" s="1271"/>
      <c r="I11" s="999" t="s">
        <v>166</v>
      </c>
      <c r="J11" s="1000">
        <f>J12+J13+J14</f>
        <v>0</v>
      </c>
      <c r="K11" s="697">
        <v>0</v>
      </c>
      <c r="L11" s="697">
        <f>L12+L13+L14</f>
        <v>0</v>
      </c>
      <c r="M11" s="1093"/>
      <c r="N11" s="1009">
        <f>N12+N13+N14</f>
        <v>0</v>
      </c>
    </row>
    <row r="12" spans="1:14" s="1001" customFormat="1" ht="13.5" customHeight="1" hidden="1">
      <c r="A12" s="1241"/>
      <c r="B12" s="1267"/>
      <c r="C12" s="1267"/>
      <c r="D12" s="1248"/>
      <c r="E12" s="1246"/>
      <c r="F12" s="1248"/>
      <c r="G12" s="1250"/>
      <c r="H12" s="1252"/>
      <c r="I12" s="1002" t="s">
        <v>150</v>
      </c>
      <c r="J12" s="1003"/>
      <c r="K12" s="233">
        <v>0</v>
      </c>
      <c r="L12" s="233">
        <v>0</v>
      </c>
      <c r="M12" s="978"/>
      <c r="N12" s="707">
        <v>0</v>
      </c>
    </row>
    <row r="13" spans="1:14" s="1001" customFormat="1" ht="23.25" customHeight="1" hidden="1">
      <c r="A13" s="1241"/>
      <c r="B13" s="1267"/>
      <c r="C13" s="1267"/>
      <c r="D13" s="1248"/>
      <c r="E13" s="1246"/>
      <c r="F13" s="1248"/>
      <c r="G13" s="1250"/>
      <c r="H13" s="1252"/>
      <c r="I13" s="1004" t="s">
        <v>167</v>
      </c>
      <c r="J13" s="1003">
        <v>0</v>
      </c>
      <c r="K13" s="233">
        <v>0</v>
      </c>
      <c r="L13" s="233">
        <v>0</v>
      </c>
      <c r="M13" s="978"/>
      <c r="N13" s="707">
        <v>0</v>
      </c>
    </row>
    <row r="14" spans="1:14" s="1001" customFormat="1" ht="13.5" customHeight="1" hidden="1">
      <c r="A14" s="1242"/>
      <c r="B14" s="1268"/>
      <c r="C14" s="1268"/>
      <c r="D14" s="1249"/>
      <c r="E14" s="1247"/>
      <c r="F14" s="1249"/>
      <c r="G14" s="1251"/>
      <c r="H14" s="1253"/>
      <c r="I14" s="1005" t="s">
        <v>151</v>
      </c>
      <c r="J14" s="1006">
        <v>0</v>
      </c>
      <c r="K14" s="234">
        <f>K11*75%</f>
        <v>0</v>
      </c>
      <c r="L14" s="234">
        <v>0</v>
      </c>
      <c r="M14" s="979"/>
      <c r="N14" s="708">
        <v>0</v>
      </c>
    </row>
    <row r="15" spans="1:14" ht="13.5" customHeight="1">
      <c r="A15" s="1240">
        <v>2</v>
      </c>
      <c r="B15" s="1243">
        <v>600</v>
      </c>
      <c r="C15" s="1243">
        <v>60016</v>
      </c>
      <c r="D15" s="1232">
        <v>6050</v>
      </c>
      <c r="E15" s="1229" t="s">
        <v>677</v>
      </c>
      <c r="F15" s="1229" t="s">
        <v>689</v>
      </c>
      <c r="G15" s="1232" t="s">
        <v>163</v>
      </c>
      <c r="H15" s="1237">
        <f>80000+68500</f>
        <v>148500</v>
      </c>
      <c r="I15" s="677" t="s">
        <v>166</v>
      </c>
      <c r="J15" s="988">
        <f>J16+J17+J18</f>
        <v>68500</v>
      </c>
      <c r="K15" s="697">
        <v>80000</v>
      </c>
      <c r="L15" s="697">
        <v>0</v>
      </c>
      <c r="M15" s="1093"/>
      <c r="N15" s="1009">
        <v>0</v>
      </c>
    </row>
    <row r="16" spans="1:14" ht="13.5" customHeight="1">
      <c r="A16" s="1241"/>
      <c r="B16" s="1244"/>
      <c r="C16" s="1244"/>
      <c r="D16" s="1233"/>
      <c r="E16" s="1230"/>
      <c r="F16" s="1233"/>
      <c r="G16" s="1235"/>
      <c r="H16" s="1238"/>
      <c r="I16" s="678" t="s">
        <v>150</v>
      </c>
      <c r="J16" s="989">
        <v>18170</v>
      </c>
      <c r="K16" s="233"/>
      <c r="L16" s="233">
        <v>0</v>
      </c>
      <c r="M16" s="978"/>
      <c r="N16" s="707"/>
    </row>
    <row r="17" spans="1:14" ht="23.25" customHeight="1">
      <c r="A17" s="1241"/>
      <c r="B17" s="1244"/>
      <c r="C17" s="1244"/>
      <c r="D17" s="1233"/>
      <c r="E17" s="1230"/>
      <c r="F17" s="1233"/>
      <c r="G17" s="1235"/>
      <c r="H17" s="1238"/>
      <c r="I17" s="698" t="s">
        <v>167</v>
      </c>
      <c r="J17" s="989">
        <v>0</v>
      </c>
      <c r="K17" s="233">
        <v>40000</v>
      </c>
      <c r="L17" s="233">
        <v>0</v>
      </c>
      <c r="M17" s="978"/>
      <c r="N17" s="707">
        <v>0</v>
      </c>
    </row>
    <row r="18" spans="1:14" ht="13.5" customHeight="1">
      <c r="A18" s="1242"/>
      <c r="B18" s="1245"/>
      <c r="C18" s="1245"/>
      <c r="D18" s="1234"/>
      <c r="E18" s="1231"/>
      <c r="F18" s="1234"/>
      <c r="G18" s="1236"/>
      <c r="H18" s="1239"/>
      <c r="I18" s="679" t="s">
        <v>151</v>
      </c>
      <c r="J18" s="990">
        <v>50330</v>
      </c>
      <c r="K18" s="234">
        <v>40000</v>
      </c>
      <c r="L18" s="234">
        <v>0</v>
      </c>
      <c r="M18" s="979"/>
      <c r="N18" s="708">
        <v>0</v>
      </c>
    </row>
    <row r="19" spans="1:14" ht="13.5" customHeight="1">
      <c r="A19" s="1221">
        <v>3</v>
      </c>
      <c r="B19" s="1224">
        <v>600</v>
      </c>
      <c r="C19" s="1224">
        <v>60016</v>
      </c>
      <c r="D19" s="1215">
        <v>6050</v>
      </c>
      <c r="E19" s="1212" t="s">
        <v>676</v>
      </c>
      <c r="F19" s="1215" t="s">
        <v>666</v>
      </c>
      <c r="G19" s="1215" t="s">
        <v>671</v>
      </c>
      <c r="H19" s="1218">
        <v>80000</v>
      </c>
      <c r="I19" s="680" t="s">
        <v>166</v>
      </c>
      <c r="J19" s="988">
        <f>J20+J21+J22</f>
        <v>10000</v>
      </c>
      <c r="K19" s="697">
        <f>K20+K21+K22</f>
        <v>20000</v>
      </c>
      <c r="L19" s="697">
        <v>50000</v>
      </c>
      <c r="M19" s="1093"/>
      <c r="N19" s="1009">
        <v>0</v>
      </c>
    </row>
    <row r="20" spans="1:14" ht="13.5" customHeight="1">
      <c r="A20" s="1222"/>
      <c r="B20" s="1225"/>
      <c r="C20" s="1225"/>
      <c r="D20" s="1213"/>
      <c r="E20" s="1227"/>
      <c r="F20" s="1213"/>
      <c r="G20" s="1216"/>
      <c r="H20" s="1219"/>
      <c r="I20" s="678" t="s">
        <v>150</v>
      </c>
      <c r="J20" s="989">
        <v>10000</v>
      </c>
      <c r="K20" s="233">
        <v>20000</v>
      </c>
      <c r="L20" s="233">
        <v>50000</v>
      </c>
      <c r="M20" s="978"/>
      <c r="N20" s="707"/>
    </row>
    <row r="21" spans="1:14" ht="24" customHeight="1">
      <c r="A21" s="1222"/>
      <c r="B21" s="1225"/>
      <c r="C21" s="1225"/>
      <c r="D21" s="1213"/>
      <c r="E21" s="1227"/>
      <c r="F21" s="1213"/>
      <c r="G21" s="1216"/>
      <c r="H21" s="1219"/>
      <c r="I21" s="698" t="s">
        <v>167</v>
      </c>
      <c r="J21" s="989">
        <v>0</v>
      </c>
      <c r="K21" s="233">
        <v>0</v>
      </c>
      <c r="L21" s="233">
        <v>0</v>
      </c>
      <c r="M21" s="978"/>
      <c r="N21" s="707">
        <v>0</v>
      </c>
    </row>
    <row r="22" spans="1:14" ht="13.5" customHeight="1">
      <c r="A22" s="1223"/>
      <c r="B22" s="1226"/>
      <c r="C22" s="1226"/>
      <c r="D22" s="1214"/>
      <c r="E22" s="1228"/>
      <c r="F22" s="1214"/>
      <c r="G22" s="1217"/>
      <c r="H22" s="1220"/>
      <c r="I22" s="679" t="s">
        <v>151</v>
      </c>
      <c r="J22" s="990">
        <v>0</v>
      </c>
      <c r="K22" s="234">
        <v>0</v>
      </c>
      <c r="L22" s="234">
        <v>0</v>
      </c>
      <c r="M22" s="979"/>
      <c r="N22" s="708">
        <v>0</v>
      </c>
    </row>
    <row r="23" spans="1:14" ht="13.5" customHeight="1">
      <c r="A23" s="1240">
        <v>4</v>
      </c>
      <c r="B23" s="1243">
        <v>600</v>
      </c>
      <c r="C23" s="1243">
        <v>60016</v>
      </c>
      <c r="D23" s="1232">
        <v>6050</v>
      </c>
      <c r="E23" s="1229" t="s">
        <v>680</v>
      </c>
      <c r="F23" s="1229" t="s">
        <v>689</v>
      </c>
      <c r="G23" s="1232">
        <v>2009</v>
      </c>
      <c r="H23" s="1237">
        <v>60000</v>
      </c>
      <c r="I23" s="1013" t="s">
        <v>166</v>
      </c>
      <c r="J23" s="988">
        <f>J24+J25+J26</f>
        <v>0</v>
      </c>
      <c r="K23" s="697">
        <f>K24+K25+K26</f>
        <v>60000</v>
      </c>
      <c r="L23" s="697">
        <f>L24+L25+L26</f>
        <v>0</v>
      </c>
      <c r="M23" s="1093"/>
      <c r="N23" s="1009">
        <f>N24+N25+N26</f>
        <v>0</v>
      </c>
    </row>
    <row r="24" spans="1:14" ht="13.5" customHeight="1">
      <c r="A24" s="1241"/>
      <c r="B24" s="1244"/>
      <c r="C24" s="1244"/>
      <c r="D24" s="1233"/>
      <c r="E24" s="1230"/>
      <c r="F24" s="1233"/>
      <c r="G24" s="1235"/>
      <c r="H24" s="1238"/>
      <c r="I24" s="1014" t="s">
        <v>150</v>
      </c>
      <c r="J24" s="991">
        <v>0</v>
      </c>
      <c r="K24" s="753">
        <v>30000</v>
      </c>
      <c r="L24" s="753">
        <v>0</v>
      </c>
      <c r="M24" s="980"/>
      <c r="N24" s="754">
        <v>0</v>
      </c>
    </row>
    <row r="25" spans="1:14" ht="23.25" customHeight="1">
      <c r="A25" s="1241"/>
      <c r="B25" s="1244"/>
      <c r="C25" s="1244"/>
      <c r="D25" s="1233"/>
      <c r="E25" s="1230"/>
      <c r="F25" s="1233"/>
      <c r="G25" s="1235"/>
      <c r="H25" s="1238"/>
      <c r="I25" s="1015" t="s">
        <v>167</v>
      </c>
      <c r="J25" s="991">
        <v>0</v>
      </c>
      <c r="K25" s="753">
        <v>0</v>
      </c>
      <c r="L25" s="753">
        <v>0</v>
      </c>
      <c r="M25" s="980"/>
      <c r="N25" s="754">
        <v>0</v>
      </c>
    </row>
    <row r="26" spans="1:14" ht="13.5" customHeight="1">
      <c r="A26" s="1242"/>
      <c r="B26" s="1245"/>
      <c r="C26" s="1245"/>
      <c r="D26" s="1234"/>
      <c r="E26" s="1231"/>
      <c r="F26" s="1234"/>
      <c r="G26" s="1236"/>
      <c r="H26" s="1239"/>
      <c r="I26" s="1016" t="s">
        <v>151</v>
      </c>
      <c r="J26" s="992">
        <v>0</v>
      </c>
      <c r="K26" s="755">
        <v>30000</v>
      </c>
      <c r="L26" s="755">
        <v>0</v>
      </c>
      <c r="M26" s="981"/>
      <c r="N26" s="756">
        <v>0</v>
      </c>
    </row>
    <row r="27" spans="1:14" ht="13.5" customHeight="1">
      <c r="A27" s="1240">
        <v>5</v>
      </c>
      <c r="B27" s="1243">
        <v>600</v>
      </c>
      <c r="C27" s="1243">
        <v>60016</v>
      </c>
      <c r="D27" s="1232">
        <v>6050</v>
      </c>
      <c r="E27" s="1229" t="s">
        <v>681</v>
      </c>
      <c r="F27" s="1229" t="s">
        <v>689</v>
      </c>
      <c r="G27" s="1232" t="s">
        <v>675</v>
      </c>
      <c r="H27" s="1237">
        <v>100000</v>
      </c>
      <c r="I27" s="680" t="s">
        <v>166</v>
      </c>
      <c r="J27" s="988">
        <f>J28+J29+J30</f>
        <v>0</v>
      </c>
      <c r="K27" s="697">
        <f>K28+K29+K30</f>
        <v>50000</v>
      </c>
      <c r="L27" s="697">
        <f>L28+L29+L30</f>
        <v>50000</v>
      </c>
      <c r="M27" s="1093"/>
      <c r="N27" s="1009">
        <f>N28+N29+N30</f>
        <v>0</v>
      </c>
    </row>
    <row r="28" spans="1:14" ht="13.5" customHeight="1">
      <c r="A28" s="1254"/>
      <c r="B28" s="1256"/>
      <c r="C28" s="1256"/>
      <c r="D28" s="1258"/>
      <c r="E28" s="1260"/>
      <c r="F28" s="1258"/>
      <c r="G28" s="1262"/>
      <c r="H28" s="1264"/>
      <c r="I28" s="1017" t="s">
        <v>150</v>
      </c>
      <c r="J28" s="993">
        <v>0</v>
      </c>
      <c r="K28" s="749">
        <v>25000</v>
      </c>
      <c r="L28" s="749">
        <v>25000</v>
      </c>
      <c r="M28" s="982"/>
      <c r="N28" s="750">
        <v>0</v>
      </c>
    </row>
    <row r="29" spans="1:14" ht="23.25" customHeight="1">
      <c r="A29" s="1254"/>
      <c r="B29" s="1256"/>
      <c r="C29" s="1256"/>
      <c r="D29" s="1258"/>
      <c r="E29" s="1260"/>
      <c r="F29" s="1258"/>
      <c r="G29" s="1262"/>
      <c r="H29" s="1264"/>
      <c r="I29" s="1018" t="s">
        <v>167</v>
      </c>
      <c r="J29" s="993">
        <v>0</v>
      </c>
      <c r="K29" s="749">
        <v>0</v>
      </c>
      <c r="L29" s="749">
        <v>0</v>
      </c>
      <c r="M29" s="982"/>
      <c r="N29" s="750">
        <v>0</v>
      </c>
    </row>
    <row r="30" spans="1:14" ht="13.5" customHeight="1">
      <c r="A30" s="1255"/>
      <c r="B30" s="1257"/>
      <c r="C30" s="1257"/>
      <c r="D30" s="1259"/>
      <c r="E30" s="1261"/>
      <c r="F30" s="1259"/>
      <c r="G30" s="1263"/>
      <c r="H30" s="1265"/>
      <c r="I30" s="1019" t="s">
        <v>151</v>
      </c>
      <c r="J30" s="994">
        <v>0</v>
      </c>
      <c r="K30" s="751">
        <v>25000</v>
      </c>
      <c r="L30" s="751">
        <v>25000</v>
      </c>
      <c r="M30" s="983"/>
      <c r="N30" s="752">
        <v>0</v>
      </c>
    </row>
    <row r="31" spans="1:14" s="1001" customFormat="1" ht="13.5" customHeight="1" hidden="1">
      <c r="A31" s="1221">
        <v>7</v>
      </c>
      <c r="B31" s="1224">
        <v>600</v>
      </c>
      <c r="C31" s="1224">
        <v>60016</v>
      </c>
      <c r="D31" s="1194"/>
      <c r="E31" s="1189" t="s">
        <v>682</v>
      </c>
      <c r="F31" s="1194" t="s">
        <v>666</v>
      </c>
      <c r="G31" s="1194" t="s">
        <v>671</v>
      </c>
      <c r="H31" s="1197"/>
      <c r="I31" s="999" t="s">
        <v>166</v>
      </c>
      <c r="J31" s="1000">
        <f>J32+J33+J34</f>
        <v>0</v>
      </c>
      <c r="K31" s="697">
        <f>K32+K33+K34</f>
        <v>0</v>
      </c>
      <c r="L31" s="697">
        <f>L32+L33+L34</f>
        <v>0</v>
      </c>
      <c r="M31" s="1093"/>
      <c r="N31" s="1009">
        <f>N32+N33+N34</f>
        <v>0</v>
      </c>
    </row>
    <row r="32" spans="1:14" s="1001" customFormat="1" ht="13.5" customHeight="1" hidden="1">
      <c r="A32" s="1222"/>
      <c r="B32" s="1225"/>
      <c r="C32" s="1225"/>
      <c r="D32" s="1192"/>
      <c r="E32" s="1190"/>
      <c r="F32" s="1192"/>
      <c r="G32" s="1195"/>
      <c r="H32" s="1198"/>
      <c r="I32" s="1002" t="s">
        <v>150</v>
      </c>
      <c r="J32" s="1003"/>
      <c r="K32" s="233"/>
      <c r="L32" s="233"/>
      <c r="M32" s="978"/>
      <c r="N32" s="707">
        <v>0</v>
      </c>
    </row>
    <row r="33" spans="1:14" s="1001" customFormat="1" ht="22.5" customHeight="1" hidden="1">
      <c r="A33" s="1222"/>
      <c r="B33" s="1225"/>
      <c r="C33" s="1225"/>
      <c r="D33" s="1192"/>
      <c r="E33" s="1190"/>
      <c r="F33" s="1192"/>
      <c r="G33" s="1195"/>
      <c r="H33" s="1198"/>
      <c r="I33" s="1004" t="s">
        <v>167</v>
      </c>
      <c r="J33" s="1003">
        <v>0</v>
      </c>
      <c r="K33" s="233">
        <v>0</v>
      </c>
      <c r="L33" s="233">
        <v>0</v>
      </c>
      <c r="M33" s="978"/>
      <c r="N33" s="707">
        <v>0</v>
      </c>
    </row>
    <row r="34" spans="1:14" s="1001" customFormat="1" ht="13.5" customHeight="1" hidden="1">
      <c r="A34" s="1223"/>
      <c r="B34" s="1226"/>
      <c r="C34" s="1226"/>
      <c r="D34" s="1193"/>
      <c r="E34" s="1191"/>
      <c r="F34" s="1193"/>
      <c r="G34" s="1196"/>
      <c r="H34" s="1199"/>
      <c r="I34" s="1005" t="s">
        <v>151</v>
      </c>
      <c r="J34" s="1006">
        <v>0</v>
      </c>
      <c r="K34" s="234">
        <v>0</v>
      </c>
      <c r="L34" s="234">
        <v>0</v>
      </c>
      <c r="M34" s="979"/>
      <c r="N34" s="708">
        <v>0</v>
      </c>
    </row>
    <row r="35" spans="1:14" ht="13.5" customHeight="1">
      <c r="A35" s="1221">
        <v>6</v>
      </c>
      <c r="B35" s="1224">
        <v>600</v>
      </c>
      <c r="C35" s="1224">
        <v>60016</v>
      </c>
      <c r="D35" s="1215">
        <v>6050</v>
      </c>
      <c r="E35" s="1212" t="s">
        <v>568</v>
      </c>
      <c r="F35" s="1212" t="s">
        <v>726</v>
      </c>
      <c r="G35" s="1215">
        <v>2009</v>
      </c>
      <c r="H35" s="1218">
        <v>292000</v>
      </c>
      <c r="I35" s="677" t="s">
        <v>166</v>
      </c>
      <c r="J35" s="988"/>
      <c r="K35" s="697">
        <v>292000</v>
      </c>
      <c r="L35" s="697">
        <v>0</v>
      </c>
      <c r="M35" s="1093"/>
      <c r="N35" s="1009">
        <v>0</v>
      </c>
    </row>
    <row r="36" spans="1:14" ht="13.5" customHeight="1">
      <c r="A36" s="1222"/>
      <c r="B36" s="1225"/>
      <c r="C36" s="1225"/>
      <c r="D36" s="1213"/>
      <c r="E36" s="1227"/>
      <c r="F36" s="1213"/>
      <c r="G36" s="1216"/>
      <c r="H36" s="1219"/>
      <c r="I36" s="678" t="s">
        <v>150</v>
      </c>
      <c r="J36" s="989"/>
      <c r="K36" s="233">
        <f>K35-K38</f>
        <v>66400</v>
      </c>
      <c r="L36" s="233">
        <v>0</v>
      </c>
      <c r="M36" s="978"/>
      <c r="N36" s="707">
        <v>0</v>
      </c>
    </row>
    <row r="37" spans="1:14" ht="25.5" customHeight="1">
      <c r="A37" s="1222"/>
      <c r="B37" s="1225"/>
      <c r="C37" s="1225"/>
      <c r="D37" s="1213"/>
      <c r="E37" s="1227"/>
      <c r="F37" s="1213"/>
      <c r="G37" s="1216"/>
      <c r="H37" s="1219"/>
      <c r="I37" s="698" t="s">
        <v>167</v>
      </c>
      <c r="J37" s="989">
        <v>0</v>
      </c>
      <c r="K37" s="233">
        <v>0</v>
      </c>
      <c r="L37" s="233">
        <v>0</v>
      </c>
      <c r="M37" s="978"/>
      <c r="N37" s="707">
        <v>0</v>
      </c>
    </row>
    <row r="38" spans="1:14" ht="12" customHeight="1">
      <c r="A38" s="1223"/>
      <c r="B38" s="1226"/>
      <c r="C38" s="1226"/>
      <c r="D38" s="1214"/>
      <c r="E38" s="1228"/>
      <c r="F38" s="1214"/>
      <c r="G38" s="1217"/>
      <c r="H38" s="1220"/>
      <c r="I38" s="679" t="s">
        <v>151</v>
      </c>
      <c r="J38" s="990"/>
      <c r="K38" s="234">
        <v>225600</v>
      </c>
      <c r="L38" s="234">
        <v>0</v>
      </c>
      <c r="M38" s="979"/>
      <c r="N38" s="708">
        <v>0</v>
      </c>
    </row>
    <row r="39" spans="1:14" s="1001" customFormat="1" ht="13.5" customHeight="1" hidden="1">
      <c r="A39" s="1221">
        <v>9</v>
      </c>
      <c r="B39" s="1224">
        <v>600</v>
      </c>
      <c r="C39" s="1224">
        <v>60016</v>
      </c>
      <c r="D39" s="1194"/>
      <c r="E39" s="1189" t="s">
        <v>683</v>
      </c>
      <c r="F39" s="1189" t="s">
        <v>727</v>
      </c>
      <c r="G39" s="1194"/>
      <c r="H39" s="1197"/>
      <c r="I39" s="1007" t="s">
        <v>166</v>
      </c>
      <c r="J39" s="1000"/>
      <c r="K39" s="697">
        <v>0</v>
      </c>
      <c r="L39" s="697">
        <v>0</v>
      </c>
      <c r="M39" s="1093"/>
      <c r="N39" s="1009">
        <v>0</v>
      </c>
    </row>
    <row r="40" spans="1:14" s="1001" customFormat="1" ht="13.5" customHeight="1" hidden="1">
      <c r="A40" s="1222"/>
      <c r="B40" s="1225"/>
      <c r="C40" s="1225"/>
      <c r="D40" s="1192"/>
      <c r="E40" s="1190"/>
      <c r="F40" s="1192"/>
      <c r="G40" s="1195"/>
      <c r="H40" s="1198"/>
      <c r="I40" s="1002" t="s">
        <v>150</v>
      </c>
      <c r="J40" s="1003">
        <f>J39*20%</f>
        <v>0</v>
      </c>
      <c r="K40" s="233">
        <v>0</v>
      </c>
      <c r="L40" s="233">
        <v>0</v>
      </c>
      <c r="M40" s="978"/>
      <c r="N40" s="707">
        <v>0</v>
      </c>
    </row>
    <row r="41" spans="1:14" s="1001" customFormat="1" ht="24.75" customHeight="1" hidden="1">
      <c r="A41" s="1222"/>
      <c r="B41" s="1225"/>
      <c r="C41" s="1225"/>
      <c r="D41" s="1192"/>
      <c r="E41" s="1190"/>
      <c r="F41" s="1192"/>
      <c r="G41" s="1195"/>
      <c r="H41" s="1198"/>
      <c r="I41" s="1004" t="s">
        <v>167</v>
      </c>
      <c r="J41" s="1003">
        <v>0</v>
      </c>
      <c r="K41" s="233">
        <v>0</v>
      </c>
      <c r="L41" s="233">
        <v>0</v>
      </c>
      <c r="M41" s="978"/>
      <c r="N41" s="707">
        <v>0</v>
      </c>
    </row>
    <row r="42" spans="1:14" s="1001" customFormat="1" ht="15.75" customHeight="1" hidden="1">
      <c r="A42" s="1223"/>
      <c r="B42" s="1226"/>
      <c r="C42" s="1226"/>
      <c r="D42" s="1193"/>
      <c r="E42" s="1191"/>
      <c r="F42" s="1193"/>
      <c r="G42" s="1196"/>
      <c r="H42" s="1199"/>
      <c r="I42" s="1008" t="s">
        <v>151</v>
      </c>
      <c r="J42" s="1006">
        <f>J39*80%</f>
        <v>0</v>
      </c>
      <c r="K42" s="234">
        <v>0</v>
      </c>
      <c r="L42" s="234">
        <v>0</v>
      </c>
      <c r="M42" s="979"/>
      <c r="N42" s="708">
        <v>0</v>
      </c>
    </row>
    <row r="43" spans="1:14" s="1001" customFormat="1" ht="13.5" customHeight="1" hidden="1">
      <c r="A43" s="1221">
        <v>10</v>
      </c>
      <c r="B43" s="1224">
        <v>600</v>
      </c>
      <c r="C43" s="1224">
        <v>60016</v>
      </c>
      <c r="D43" s="1194"/>
      <c r="E43" s="1189" t="s">
        <v>721</v>
      </c>
      <c r="F43" s="1189" t="s">
        <v>726</v>
      </c>
      <c r="G43" s="1194"/>
      <c r="H43" s="1197"/>
      <c r="I43" s="1007" t="s">
        <v>166</v>
      </c>
      <c r="J43" s="1000"/>
      <c r="K43" s="697">
        <v>0</v>
      </c>
      <c r="L43" s="697">
        <v>0</v>
      </c>
      <c r="M43" s="1093"/>
      <c r="N43" s="1009">
        <v>0</v>
      </c>
    </row>
    <row r="44" spans="1:14" s="1001" customFormat="1" ht="13.5" customHeight="1" hidden="1">
      <c r="A44" s="1222"/>
      <c r="B44" s="1225"/>
      <c r="C44" s="1225"/>
      <c r="D44" s="1192"/>
      <c r="E44" s="1190"/>
      <c r="F44" s="1192"/>
      <c r="G44" s="1195"/>
      <c r="H44" s="1198"/>
      <c r="I44" s="1002" t="s">
        <v>150</v>
      </c>
      <c r="J44" s="1003"/>
      <c r="K44" s="233">
        <v>0</v>
      </c>
      <c r="L44" s="233">
        <v>0</v>
      </c>
      <c r="M44" s="978"/>
      <c r="N44" s="707">
        <v>0</v>
      </c>
    </row>
    <row r="45" spans="1:14" s="1001" customFormat="1" ht="22.5" customHeight="1" hidden="1">
      <c r="A45" s="1222"/>
      <c r="B45" s="1225"/>
      <c r="C45" s="1225"/>
      <c r="D45" s="1192"/>
      <c r="E45" s="1190"/>
      <c r="F45" s="1192"/>
      <c r="G45" s="1195"/>
      <c r="H45" s="1198"/>
      <c r="I45" s="1004" t="s">
        <v>167</v>
      </c>
      <c r="J45" s="1003">
        <v>0</v>
      </c>
      <c r="K45" s="233">
        <v>0</v>
      </c>
      <c r="L45" s="233">
        <v>0</v>
      </c>
      <c r="M45" s="978"/>
      <c r="N45" s="707">
        <v>0</v>
      </c>
    </row>
    <row r="46" spans="1:14" s="1001" customFormat="1" ht="13.5" customHeight="1" hidden="1">
      <c r="A46" s="1223"/>
      <c r="B46" s="1226"/>
      <c r="C46" s="1226"/>
      <c r="D46" s="1193"/>
      <c r="E46" s="1191"/>
      <c r="F46" s="1193"/>
      <c r="G46" s="1196"/>
      <c r="H46" s="1199"/>
      <c r="I46" s="1008" t="s">
        <v>151</v>
      </c>
      <c r="J46" s="1006"/>
      <c r="K46" s="234">
        <v>0</v>
      </c>
      <c r="L46" s="234">
        <v>0</v>
      </c>
      <c r="M46" s="979"/>
      <c r="N46" s="708">
        <v>0</v>
      </c>
    </row>
    <row r="47" spans="1:14" s="1001" customFormat="1" ht="13.5" customHeight="1" hidden="1">
      <c r="A47" s="1241">
        <v>11</v>
      </c>
      <c r="B47" s="1244">
        <v>600</v>
      </c>
      <c r="C47" s="1244">
        <v>60016</v>
      </c>
      <c r="D47" s="1248"/>
      <c r="E47" s="1246" t="s">
        <v>318</v>
      </c>
      <c r="F47" s="1248" t="s">
        <v>666</v>
      </c>
      <c r="G47" s="1248"/>
      <c r="H47" s="1252"/>
      <c r="I47" s="999" t="s">
        <v>166</v>
      </c>
      <c r="J47" s="1000">
        <f>J48+J49+J50</f>
        <v>0</v>
      </c>
      <c r="K47" s="697">
        <f>K48+K49+K50</f>
        <v>0</v>
      </c>
      <c r="L47" s="697">
        <f>L48+L49+L50</f>
        <v>0</v>
      </c>
      <c r="M47" s="1093"/>
      <c r="N47" s="1009">
        <f>N48+N49+N50</f>
        <v>0</v>
      </c>
    </row>
    <row r="48" spans="1:14" s="1001" customFormat="1" ht="13.5" customHeight="1" hidden="1">
      <c r="A48" s="1241"/>
      <c r="B48" s="1244"/>
      <c r="C48" s="1244"/>
      <c r="D48" s="1248"/>
      <c r="E48" s="1246"/>
      <c r="F48" s="1248"/>
      <c r="G48" s="1250"/>
      <c r="H48" s="1252"/>
      <c r="I48" s="1002" t="s">
        <v>150</v>
      </c>
      <c r="J48" s="1003"/>
      <c r="K48" s="233"/>
      <c r="L48" s="233">
        <v>0</v>
      </c>
      <c r="M48" s="978"/>
      <c r="N48" s="707">
        <v>0</v>
      </c>
    </row>
    <row r="49" spans="1:14" s="1001" customFormat="1" ht="24" customHeight="1" hidden="1">
      <c r="A49" s="1241"/>
      <c r="B49" s="1244"/>
      <c r="C49" s="1244"/>
      <c r="D49" s="1248"/>
      <c r="E49" s="1246"/>
      <c r="F49" s="1248"/>
      <c r="G49" s="1250"/>
      <c r="H49" s="1252"/>
      <c r="I49" s="1004" t="s">
        <v>167</v>
      </c>
      <c r="J49" s="1003">
        <v>0</v>
      </c>
      <c r="K49" s="233">
        <v>0</v>
      </c>
      <c r="L49" s="233">
        <v>0</v>
      </c>
      <c r="M49" s="978"/>
      <c r="N49" s="707">
        <v>0</v>
      </c>
    </row>
    <row r="50" spans="1:14" s="1001" customFormat="1" ht="13.5" customHeight="1" hidden="1">
      <c r="A50" s="1242"/>
      <c r="B50" s="1245"/>
      <c r="C50" s="1245"/>
      <c r="D50" s="1249"/>
      <c r="E50" s="1247"/>
      <c r="F50" s="1249"/>
      <c r="G50" s="1251"/>
      <c r="H50" s="1253"/>
      <c r="I50" s="1008" t="s">
        <v>151</v>
      </c>
      <c r="J50" s="1006">
        <v>0</v>
      </c>
      <c r="K50" s="234">
        <v>0</v>
      </c>
      <c r="L50" s="234">
        <v>0</v>
      </c>
      <c r="M50" s="979"/>
      <c r="N50" s="708">
        <v>0</v>
      </c>
    </row>
    <row r="51" spans="1:14" ht="18" customHeight="1">
      <c r="A51" s="1240">
        <v>7</v>
      </c>
      <c r="B51" s="1243">
        <v>630</v>
      </c>
      <c r="C51" s="1243">
        <v>63095</v>
      </c>
      <c r="D51" s="1229" t="s">
        <v>367</v>
      </c>
      <c r="E51" s="1229" t="s">
        <v>850</v>
      </c>
      <c r="F51" s="1232" t="s">
        <v>666</v>
      </c>
      <c r="G51" s="1232" t="s">
        <v>97</v>
      </c>
      <c r="H51" s="1237">
        <v>2348000</v>
      </c>
      <c r="I51" s="677" t="s">
        <v>166</v>
      </c>
      <c r="J51" s="988">
        <f>SUM(J52:J54)</f>
        <v>55000</v>
      </c>
      <c r="K51" s="697">
        <v>1214000</v>
      </c>
      <c r="L51" s="697">
        <v>923000</v>
      </c>
      <c r="M51" s="1093">
        <v>156000</v>
      </c>
      <c r="N51" s="1009">
        <v>0</v>
      </c>
    </row>
    <row r="52" spans="1:14" ht="18" customHeight="1">
      <c r="A52" s="1241"/>
      <c r="B52" s="1244"/>
      <c r="C52" s="1244"/>
      <c r="D52" s="1233"/>
      <c r="E52" s="1230"/>
      <c r="F52" s="1233"/>
      <c r="G52" s="1235"/>
      <c r="H52" s="1238"/>
      <c r="I52" s="1017" t="s">
        <v>150</v>
      </c>
      <c r="J52" s="993">
        <v>55000</v>
      </c>
      <c r="K52" s="749">
        <f>K51*15%</f>
        <v>182100</v>
      </c>
      <c r="L52" s="749">
        <f>L51*15%</f>
        <v>138450</v>
      </c>
      <c r="M52" s="749">
        <f>M51*15%</f>
        <v>23400</v>
      </c>
      <c r="N52" s="750"/>
    </row>
    <row r="53" spans="1:14" ht="25.5" customHeight="1">
      <c r="A53" s="1241"/>
      <c r="B53" s="1244"/>
      <c r="C53" s="1244"/>
      <c r="D53" s="1233"/>
      <c r="E53" s="1230"/>
      <c r="F53" s="1233"/>
      <c r="G53" s="1235"/>
      <c r="H53" s="1238"/>
      <c r="I53" s="1018" t="s">
        <v>167</v>
      </c>
      <c r="J53" s="993">
        <v>0</v>
      </c>
      <c r="K53" s="749">
        <v>1031900</v>
      </c>
      <c r="L53" s="749">
        <f>L51*85%</f>
        <v>784550</v>
      </c>
      <c r="M53" s="982">
        <f>M51*85%</f>
        <v>132600</v>
      </c>
      <c r="N53" s="750"/>
    </row>
    <row r="54" spans="1:14" ht="12" customHeight="1">
      <c r="A54" s="1242"/>
      <c r="B54" s="1245"/>
      <c r="C54" s="1245"/>
      <c r="D54" s="1234"/>
      <c r="E54" s="1231"/>
      <c r="F54" s="1234"/>
      <c r="G54" s="1236"/>
      <c r="H54" s="1239"/>
      <c r="I54" s="1019" t="s">
        <v>151</v>
      </c>
      <c r="J54" s="994">
        <v>0</v>
      </c>
      <c r="K54" s="751"/>
      <c r="L54" s="751"/>
      <c r="M54" s="751"/>
      <c r="N54" s="752"/>
    </row>
    <row r="55" spans="1:14" s="1001" customFormat="1" ht="13.5" customHeight="1" hidden="1">
      <c r="A55" s="1221">
        <v>13</v>
      </c>
      <c r="B55" s="1224">
        <v>630</v>
      </c>
      <c r="C55" s="1224">
        <v>63095</v>
      </c>
      <c r="D55" s="1215"/>
      <c r="E55" s="1212" t="s">
        <v>673</v>
      </c>
      <c r="F55" s="1215" t="s">
        <v>666</v>
      </c>
      <c r="G55" s="1215"/>
      <c r="H55" s="1218"/>
      <c r="I55" s="999" t="s">
        <v>166</v>
      </c>
      <c r="J55" s="1000"/>
      <c r="K55" s="697"/>
      <c r="L55" s="697"/>
      <c r="M55" s="1093"/>
      <c r="N55" s="1009">
        <v>0</v>
      </c>
    </row>
    <row r="56" spans="1:14" s="1001" customFormat="1" ht="13.5" customHeight="1" hidden="1">
      <c r="A56" s="1222"/>
      <c r="B56" s="1225"/>
      <c r="C56" s="1225"/>
      <c r="D56" s="1213"/>
      <c r="E56" s="1227"/>
      <c r="F56" s="1213"/>
      <c r="G56" s="1216"/>
      <c r="H56" s="1219"/>
      <c r="I56" s="1002" t="s">
        <v>150</v>
      </c>
      <c r="J56" s="1003"/>
      <c r="K56" s="233"/>
      <c r="L56" s="233"/>
      <c r="M56" s="978"/>
      <c r="N56" s="707"/>
    </row>
    <row r="57" spans="1:14" s="1001" customFormat="1" ht="21.75" customHeight="1" hidden="1">
      <c r="A57" s="1222"/>
      <c r="B57" s="1225"/>
      <c r="C57" s="1225"/>
      <c r="D57" s="1213"/>
      <c r="E57" s="1227"/>
      <c r="F57" s="1213"/>
      <c r="G57" s="1216"/>
      <c r="H57" s="1219"/>
      <c r="I57" s="1004" t="s">
        <v>167</v>
      </c>
      <c r="J57" s="1003">
        <v>0</v>
      </c>
      <c r="K57" s="233">
        <v>0</v>
      </c>
      <c r="L57" s="233">
        <v>0</v>
      </c>
      <c r="M57" s="978"/>
      <c r="N57" s="707">
        <v>0</v>
      </c>
    </row>
    <row r="58" spans="1:14" s="1001" customFormat="1" ht="13.5" customHeight="1" hidden="1">
      <c r="A58" s="1223"/>
      <c r="B58" s="1226"/>
      <c r="C58" s="1226"/>
      <c r="D58" s="1214"/>
      <c r="E58" s="1228"/>
      <c r="F58" s="1214"/>
      <c r="G58" s="1217"/>
      <c r="H58" s="1220"/>
      <c r="I58" s="1008" t="s">
        <v>151</v>
      </c>
      <c r="J58" s="1006"/>
      <c r="K58" s="234"/>
      <c r="L58" s="234"/>
      <c r="M58" s="979"/>
      <c r="N58" s="708">
        <f>N55*85%</f>
        <v>0</v>
      </c>
    </row>
    <row r="59" spans="1:14" ht="13.5" customHeight="1">
      <c r="A59" s="1221">
        <v>8</v>
      </c>
      <c r="B59" s="1224">
        <v>630</v>
      </c>
      <c r="C59" s="1224">
        <v>63095</v>
      </c>
      <c r="D59" s="1212" t="s">
        <v>364</v>
      </c>
      <c r="E59" s="1212" t="s">
        <v>690</v>
      </c>
      <c r="F59" s="1215" t="s">
        <v>666</v>
      </c>
      <c r="G59" s="1215" t="s">
        <v>569</v>
      </c>
      <c r="H59" s="1218">
        <v>1000000</v>
      </c>
      <c r="I59" s="677" t="s">
        <v>166</v>
      </c>
      <c r="J59" s="988">
        <v>0</v>
      </c>
      <c r="K59" s="697">
        <v>50000</v>
      </c>
      <c r="L59" s="697">
        <v>400000</v>
      </c>
      <c r="M59" s="1093">
        <v>550000</v>
      </c>
      <c r="N59" s="1009">
        <v>0</v>
      </c>
    </row>
    <row r="60" spans="1:14" ht="13.5" customHeight="1">
      <c r="A60" s="1222"/>
      <c r="B60" s="1225"/>
      <c r="C60" s="1225"/>
      <c r="D60" s="1213"/>
      <c r="E60" s="1227"/>
      <c r="F60" s="1213"/>
      <c r="G60" s="1216"/>
      <c r="H60" s="1219"/>
      <c r="I60" s="678" t="s">
        <v>150</v>
      </c>
      <c r="J60" s="989">
        <v>0</v>
      </c>
      <c r="K60" s="233">
        <f>K59*50%</f>
        <v>25000</v>
      </c>
      <c r="L60" s="233">
        <f>L59*50%</f>
        <v>200000</v>
      </c>
      <c r="M60" s="233">
        <f>M59*50%</f>
        <v>275000</v>
      </c>
      <c r="N60" s="707"/>
    </row>
    <row r="61" spans="1:14" ht="23.25" customHeight="1">
      <c r="A61" s="1222"/>
      <c r="B61" s="1225"/>
      <c r="C61" s="1225"/>
      <c r="D61" s="1213"/>
      <c r="E61" s="1227"/>
      <c r="F61" s="1213"/>
      <c r="G61" s="1216"/>
      <c r="H61" s="1219"/>
      <c r="I61" s="698" t="s">
        <v>167</v>
      </c>
      <c r="J61" s="989">
        <v>0</v>
      </c>
      <c r="K61" s="233">
        <v>0</v>
      </c>
      <c r="L61" s="233">
        <v>0</v>
      </c>
      <c r="M61" s="978"/>
      <c r="N61" s="707">
        <v>0</v>
      </c>
    </row>
    <row r="62" spans="1:14" ht="13.5" customHeight="1">
      <c r="A62" s="1223"/>
      <c r="B62" s="1226"/>
      <c r="C62" s="1226"/>
      <c r="D62" s="1214"/>
      <c r="E62" s="1228"/>
      <c r="F62" s="1214"/>
      <c r="G62" s="1217"/>
      <c r="H62" s="1220"/>
      <c r="I62" s="679" t="s">
        <v>151</v>
      </c>
      <c r="J62" s="990">
        <v>0</v>
      </c>
      <c r="K62" s="234">
        <f>K59*50%</f>
        <v>25000</v>
      </c>
      <c r="L62" s="234">
        <f>L59*50%</f>
        <v>200000</v>
      </c>
      <c r="M62" s="234">
        <f>M59*50%</f>
        <v>275000</v>
      </c>
      <c r="N62" s="708">
        <v>0</v>
      </c>
    </row>
    <row r="63" spans="1:14" s="1001" customFormat="1" ht="13.5" customHeight="1" hidden="1">
      <c r="A63" s="1221">
        <v>15</v>
      </c>
      <c r="B63" s="1224">
        <v>630</v>
      </c>
      <c r="C63" s="1224">
        <v>63095</v>
      </c>
      <c r="D63" s="1215"/>
      <c r="E63" s="1212" t="s">
        <v>693</v>
      </c>
      <c r="F63" s="1215" t="s">
        <v>666</v>
      </c>
      <c r="G63" s="1215" t="s">
        <v>117</v>
      </c>
      <c r="H63" s="1218"/>
      <c r="I63" s="999" t="s">
        <v>166</v>
      </c>
      <c r="J63" s="1000"/>
      <c r="K63" s="697"/>
      <c r="L63" s="697">
        <v>0</v>
      </c>
      <c r="M63" s="1093"/>
      <c r="N63" s="1009">
        <v>0</v>
      </c>
    </row>
    <row r="64" spans="1:14" s="1001" customFormat="1" ht="13.5" customHeight="1" hidden="1">
      <c r="A64" s="1222"/>
      <c r="B64" s="1225"/>
      <c r="C64" s="1225"/>
      <c r="D64" s="1213"/>
      <c r="E64" s="1227"/>
      <c r="F64" s="1213"/>
      <c r="G64" s="1216"/>
      <c r="H64" s="1219"/>
      <c r="I64" s="1002" t="s">
        <v>150</v>
      </c>
      <c r="J64" s="1003">
        <f>J63*25%</f>
        <v>0</v>
      </c>
      <c r="K64" s="233">
        <f>K63*25%</f>
        <v>0</v>
      </c>
      <c r="L64" s="233">
        <v>0</v>
      </c>
      <c r="M64" s="978"/>
      <c r="N64" s="707"/>
    </row>
    <row r="65" spans="1:14" s="1001" customFormat="1" ht="22.5" customHeight="1" hidden="1">
      <c r="A65" s="1222"/>
      <c r="B65" s="1225"/>
      <c r="C65" s="1225"/>
      <c r="D65" s="1213"/>
      <c r="E65" s="1227"/>
      <c r="F65" s="1213"/>
      <c r="G65" s="1216"/>
      <c r="H65" s="1219"/>
      <c r="I65" s="1004" t="s">
        <v>167</v>
      </c>
      <c r="J65" s="1003">
        <v>0</v>
      </c>
      <c r="K65" s="233">
        <v>0</v>
      </c>
      <c r="L65" s="233">
        <v>0</v>
      </c>
      <c r="M65" s="978"/>
      <c r="N65" s="707">
        <v>0</v>
      </c>
    </row>
    <row r="66" spans="1:14" s="1001" customFormat="1" ht="13.5" customHeight="1" hidden="1">
      <c r="A66" s="1223"/>
      <c r="B66" s="1226"/>
      <c r="C66" s="1226"/>
      <c r="D66" s="1214"/>
      <c r="E66" s="1228"/>
      <c r="F66" s="1214"/>
      <c r="G66" s="1217"/>
      <c r="H66" s="1220"/>
      <c r="I66" s="1005" t="s">
        <v>151</v>
      </c>
      <c r="J66" s="1006">
        <f>J63*75%</f>
        <v>0</v>
      </c>
      <c r="K66" s="234">
        <f>K63*75%</f>
        <v>0</v>
      </c>
      <c r="L66" s="234">
        <v>0</v>
      </c>
      <c r="M66" s="979"/>
      <c r="N66" s="708">
        <v>0</v>
      </c>
    </row>
    <row r="67" spans="1:14" s="1001" customFormat="1" ht="13.5" customHeight="1" hidden="1">
      <c r="A67" s="1221">
        <v>16</v>
      </c>
      <c r="B67" s="1224">
        <v>630</v>
      </c>
      <c r="C67" s="1224">
        <v>63095</v>
      </c>
      <c r="D67" s="1215"/>
      <c r="E67" s="1212" t="s">
        <v>696</v>
      </c>
      <c r="F67" s="1215" t="s">
        <v>666</v>
      </c>
      <c r="G67" s="1215" t="s">
        <v>734</v>
      </c>
      <c r="H67" s="1218"/>
      <c r="I67" s="1007" t="s">
        <v>166</v>
      </c>
      <c r="J67" s="1000"/>
      <c r="K67" s="697"/>
      <c r="L67" s="697"/>
      <c r="M67" s="1093"/>
      <c r="N67" s="1009">
        <v>0</v>
      </c>
    </row>
    <row r="68" spans="1:14" s="1001" customFormat="1" ht="13.5" customHeight="1" hidden="1">
      <c r="A68" s="1222"/>
      <c r="B68" s="1225"/>
      <c r="C68" s="1225"/>
      <c r="D68" s="1213"/>
      <c r="E68" s="1227"/>
      <c r="F68" s="1213"/>
      <c r="G68" s="1216"/>
      <c r="H68" s="1219"/>
      <c r="I68" s="1002" t="s">
        <v>150</v>
      </c>
      <c r="J68" s="1003"/>
      <c r="K68" s="233"/>
      <c r="L68" s="233"/>
      <c r="M68" s="978"/>
      <c r="N68" s="707"/>
    </row>
    <row r="69" spans="1:14" s="1001" customFormat="1" ht="23.25" customHeight="1" hidden="1">
      <c r="A69" s="1222"/>
      <c r="B69" s="1225"/>
      <c r="C69" s="1225"/>
      <c r="D69" s="1213"/>
      <c r="E69" s="1227"/>
      <c r="F69" s="1213"/>
      <c r="G69" s="1216"/>
      <c r="H69" s="1219"/>
      <c r="I69" s="1004" t="s">
        <v>167</v>
      </c>
      <c r="J69" s="1003">
        <v>0</v>
      </c>
      <c r="K69" s="233">
        <v>0</v>
      </c>
      <c r="L69" s="233">
        <v>0</v>
      </c>
      <c r="M69" s="978"/>
      <c r="N69" s="707">
        <v>0</v>
      </c>
    </row>
    <row r="70" spans="1:14" s="1001" customFormat="1" ht="13.5" customHeight="1" hidden="1">
      <c r="A70" s="1223"/>
      <c r="B70" s="1226"/>
      <c r="C70" s="1226"/>
      <c r="D70" s="1214"/>
      <c r="E70" s="1228"/>
      <c r="F70" s="1214"/>
      <c r="G70" s="1217"/>
      <c r="H70" s="1220"/>
      <c r="I70" s="1008" t="s">
        <v>151</v>
      </c>
      <c r="J70" s="1006"/>
      <c r="K70" s="234"/>
      <c r="L70" s="234"/>
      <c r="M70" s="979"/>
      <c r="N70" s="708">
        <v>0</v>
      </c>
    </row>
    <row r="71" spans="1:14" s="1001" customFormat="1" ht="13.5" customHeight="1" hidden="1">
      <c r="A71" s="1221">
        <v>17</v>
      </c>
      <c r="B71" s="1224">
        <v>630</v>
      </c>
      <c r="C71" s="1224">
        <v>63095</v>
      </c>
      <c r="D71" s="1215"/>
      <c r="E71" s="1212" t="s">
        <v>672</v>
      </c>
      <c r="F71" s="1215" t="s">
        <v>666</v>
      </c>
      <c r="G71" s="1215"/>
      <c r="H71" s="1218"/>
      <c r="I71" s="999" t="s">
        <v>166</v>
      </c>
      <c r="J71" s="1000"/>
      <c r="K71" s="697"/>
      <c r="L71" s="697"/>
      <c r="M71" s="1093"/>
      <c r="N71" s="1009">
        <v>0</v>
      </c>
    </row>
    <row r="72" spans="1:14" s="1001" customFormat="1" ht="13.5" customHeight="1" hidden="1">
      <c r="A72" s="1222"/>
      <c r="B72" s="1225"/>
      <c r="C72" s="1225"/>
      <c r="D72" s="1213"/>
      <c r="E72" s="1227"/>
      <c r="F72" s="1213"/>
      <c r="G72" s="1216"/>
      <c r="H72" s="1219"/>
      <c r="I72" s="1002" t="s">
        <v>150</v>
      </c>
      <c r="J72" s="1003">
        <f>J71*15%</f>
        <v>0</v>
      </c>
      <c r="K72" s="233">
        <f>K71*15%</f>
        <v>0</v>
      </c>
      <c r="L72" s="233">
        <f>L71*15%</f>
        <v>0</v>
      </c>
      <c r="M72" s="978"/>
      <c r="N72" s="707">
        <v>0</v>
      </c>
    </row>
    <row r="73" spans="1:14" s="1001" customFormat="1" ht="25.5" customHeight="1" hidden="1">
      <c r="A73" s="1222"/>
      <c r="B73" s="1225"/>
      <c r="C73" s="1225"/>
      <c r="D73" s="1213"/>
      <c r="E73" s="1227"/>
      <c r="F73" s="1213"/>
      <c r="G73" s="1216"/>
      <c r="H73" s="1219"/>
      <c r="I73" s="1004" t="s">
        <v>167</v>
      </c>
      <c r="J73" s="1003">
        <v>0</v>
      </c>
      <c r="K73" s="233">
        <v>0</v>
      </c>
      <c r="L73" s="233">
        <v>0</v>
      </c>
      <c r="M73" s="978"/>
      <c r="N73" s="707">
        <v>0</v>
      </c>
    </row>
    <row r="74" spans="1:14" s="1001" customFormat="1" ht="13.5" customHeight="1" hidden="1">
      <c r="A74" s="1223"/>
      <c r="B74" s="1226"/>
      <c r="C74" s="1226"/>
      <c r="D74" s="1214"/>
      <c r="E74" s="1228"/>
      <c r="F74" s="1214"/>
      <c r="G74" s="1217"/>
      <c r="H74" s="1220"/>
      <c r="I74" s="1008" t="s">
        <v>151</v>
      </c>
      <c r="J74" s="1006">
        <f>J71*85%</f>
        <v>0</v>
      </c>
      <c r="K74" s="234">
        <f>K71*85%</f>
        <v>0</v>
      </c>
      <c r="L74" s="234">
        <f>L71*85%</f>
        <v>0</v>
      </c>
      <c r="M74" s="979"/>
      <c r="N74" s="708">
        <f>N71*85%</f>
        <v>0</v>
      </c>
    </row>
    <row r="75" spans="1:14" ht="13.5" customHeight="1">
      <c r="A75" s="1240">
        <v>9</v>
      </c>
      <c r="B75" s="1243">
        <v>700</v>
      </c>
      <c r="C75" s="1243">
        <v>70005</v>
      </c>
      <c r="D75" s="1232">
        <v>6060</v>
      </c>
      <c r="E75" s="1229" t="s">
        <v>664</v>
      </c>
      <c r="F75" s="1232" t="s">
        <v>666</v>
      </c>
      <c r="G75" s="1232" t="s">
        <v>163</v>
      </c>
      <c r="H75" s="1237">
        <v>342000</v>
      </c>
      <c r="I75" s="680" t="s">
        <v>166</v>
      </c>
      <c r="J75" s="988">
        <f>SUM(J76:J78)</f>
        <v>120000</v>
      </c>
      <c r="K75" s="697">
        <f>SUM(K76:K78)</f>
        <v>222000</v>
      </c>
      <c r="L75" s="697"/>
      <c r="M75" s="1093"/>
      <c r="N75" s="1009">
        <v>0</v>
      </c>
    </row>
    <row r="76" spans="1:14" ht="13.5" customHeight="1">
      <c r="A76" s="1241"/>
      <c r="B76" s="1244"/>
      <c r="C76" s="1244"/>
      <c r="D76" s="1233"/>
      <c r="E76" s="1230"/>
      <c r="F76" s="1233"/>
      <c r="G76" s="1235"/>
      <c r="H76" s="1238"/>
      <c r="I76" s="1017" t="s">
        <v>150</v>
      </c>
      <c r="J76" s="993">
        <v>120000</v>
      </c>
      <c r="K76" s="749">
        <v>222000</v>
      </c>
      <c r="L76" s="749"/>
      <c r="M76" s="982"/>
      <c r="N76" s="750">
        <v>0</v>
      </c>
    </row>
    <row r="77" spans="1:14" ht="24" customHeight="1">
      <c r="A77" s="1241"/>
      <c r="B77" s="1244"/>
      <c r="C77" s="1244"/>
      <c r="D77" s="1233"/>
      <c r="E77" s="1230"/>
      <c r="F77" s="1233"/>
      <c r="G77" s="1235"/>
      <c r="H77" s="1238"/>
      <c r="I77" s="1018" t="s">
        <v>167</v>
      </c>
      <c r="J77" s="993">
        <v>0</v>
      </c>
      <c r="K77" s="749">
        <v>0</v>
      </c>
      <c r="L77" s="749">
        <v>0</v>
      </c>
      <c r="M77" s="982"/>
      <c r="N77" s="750">
        <v>0</v>
      </c>
    </row>
    <row r="78" spans="1:14" ht="13.5" customHeight="1">
      <c r="A78" s="1242"/>
      <c r="B78" s="1245"/>
      <c r="C78" s="1245"/>
      <c r="D78" s="1234"/>
      <c r="E78" s="1231"/>
      <c r="F78" s="1234"/>
      <c r="G78" s="1236"/>
      <c r="H78" s="1239"/>
      <c r="I78" s="1020" t="s">
        <v>151</v>
      </c>
      <c r="J78" s="994"/>
      <c r="K78" s="751"/>
      <c r="L78" s="751"/>
      <c r="M78" s="983"/>
      <c r="N78" s="752">
        <f>N75*85%</f>
        <v>0</v>
      </c>
    </row>
    <row r="79" spans="1:14" ht="13.5" customHeight="1">
      <c r="A79" s="1221">
        <v>10</v>
      </c>
      <c r="B79" s="1224">
        <v>750</v>
      </c>
      <c r="C79" s="1224">
        <v>75023</v>
      </c>
      <c r="D79" s="1215">
        <v>6050</v>
      </c>
      <c r="E79" s="1212" t="s">
        <v>678</v>
      </c>
      <c r="F79" s="1215" t="s">
        <v>666</v>
      </c>
      <c r="G79" s="1215">
        <v>2009</v>
      </c>
      <c r="H79" s="1218">
        <v>298500</v>
      </c>
      <c r="I79" s="677" t="s">
        <v>166</v>
      </c>
      <c r="J79" s="988">
        <f>J80+J81+J82</f>
        <v>0</v>
      </c>
      <c r="K79" s="697">
        <f>K80+K81+K82</f>
        <v>298500</v>
      </c>
      <c r="L79" s="697">
        <f>L80+L81+L82</f>
        <v>0</v>
      </c>
      <c r="M79" s="1093"/>
      <c r="N79" s="1009">
        <f>N80+N81+N82</f>
        <v>0</v>
      </c>
    </row>
    <row r="80" spans="1:14" ht="13.5" customHeight="1">
      <c r="A80" s="1222"/>
      <c r="B80" s="1225"/>
      <c r="C80" s="1225"/>
      <c r="D80" s="1213"/>
      <c r="E80" s="1227"/>
      <c r="F80" s="1213"/>
      <c r="G80" s="1216"/>
      <c r="H80" s="1219"/>
      <c r="I80" s="678" t="s">
        <v>150</v>
      </c>
      <c r="J80" s="989"/>
      <c r="K80" s="233"/>
      <c r="L80" s="233"/>
      <c r="M80" s="978"/>
      <c r="N80" s="707"/>
    </row>
    <row r="81" spans="1:14" ht="23.25" customHeight="1">
      <c r="A81" s="1222"/>
      <c r="B81" s="1225"/>
      <c r="C81" s="1225"/>
      <c r="D81" s="1213"/>
      <c r="E81" s="1227"/>
      <c r="F81" s="1213"/>
      <c r="G81" s="1216"/>
      <c r="H81" s="1219"/>
      <c r="I81" s="698" t="s">
        <v>167</v>
      </c>
      <c r="J81" s="989">
        <v>0</v>
      </c>
      <c r="K81" s="233">
        <v>298500</v>
      </c>
      <c r="L81" s="233">
        <v>0</v>
      </c>
      <c r="M81" s="978"/>
      <c r="N81" s="707">
        <v>0</v>
      </c>
    </row>
    <row r="82" spans="1:14" ht="13.5" customHeight="1">
      <c r="A82" s="1223"/>
      <c r="B82" s="1226"/>
      <c r="C82" s="1226"/>
      <c r="D82" s="1214"/>
      <c r="E82" s="1228"/>
      <c r="F82" s="1214"/>
      <c r="G82" s="1217"/>
      <c r="H82" s="1220"/>
      <c r="I82" s="679" t="s">
        <v>151</v>
      </c>
      <c r="J82" s="990">
        <v>0</v>
      </c>
      <c r="K82" s="234">
        <v>0</v>
      </c>
      <c r="L82" s="234">
        <v>0</v>
      </c>
      <c r="M82" s="979"/>
      <c r="N82" s="708">
        <v>0</v>
      </c>
    </row>
    <row r="83" spans="1:14" ht="13.5" customHeight="1">
      <c r="A83" s="1221">
        <v>11</v>
      </c>
      <c r="B83" s="1224">
        <v>754</v>
      </c>
      <c r="C83" s="1224">
        <v>75412</v>
      </c>
      <c r="D83" s="1215">
        <v>6050</v>
      </c>
      <c r="E83" s="1212" t="s">
        <v>692</v>
      </c>
      <c r="F83" s="1215" t="s">
        <v>666</v>
      </c>
      <c r="G83" s="1215" t="s">
        <v>163</v>
      </c>
      <c r="H83" s="1218">
        <v>70000</v>
      </c>
      <c r="I83" s="677" t="s">
        <v>166</v>
      </c>
      <c r="J83" s="988">
        <f>J84+J85+J86</f>
        <v>30000</v>
      </c>
      <c r="K83" s="697">
        <f>K84+K85+K86</f>
        <v>40000</v>
      </c>
      <c r="L83" s="697">
        <v>0</v>
      </c>
      <c r="M83" s="1093"/>
      <c r="N83" s="1009">
        <v>0</v>
      </c>
    </row>
    <row r="84" spans="1:14" ht="13.5" customHeight="1">
      <c r="A84" s="1222"/>
      <c r="B84" s="1225"/>
      <c r="C84" s="1225"/>
      <c r="D84" s="1213"/>
      <c r="E84" s="1227"/>
      <c r="F84" s="1213"/>
      <c r="G84" s="1216"/>
      <c r="H84" s="1219"/>
      <c r="I84" s="678" t="s">
        <v>150</v>
      </c>
      <c r="J84" s="989">
        <v>30000</v>
      </c>
      <c r="K84" s="233">
        <v>40000</v>
      </c>
      <c r="L84" s="233">
        <v>0</v>
      </c>
      <c r="M84" s="978"/>
      <c r="N84" s="707"/>
    </row>
    <row r="85" spans="1:14" ht="22.5" customHeight="1">
      <c r="A85" s="1222"/>
      <c r="B85" s="1225"/>
      <c r="C85" s="1225"/>
      <c r="D85" s="1213"/>
      <c r="E85" s="1227"/>
      <c r="F85" s="1213"/>
      <c r="G85" s="1216"/>
      <c r="H85" s="1219"/>
      <c r="I85" s="698" t="s">
        <v>167</v>
      </c>
      <c r="J85" s="989">
        <v>0</v>
      </c>
      <c r="K85" s="233">
        <v>0</v>
      </c>
      <c r="L85" s="233">
        <v>0</v>
      </c>
      <c r="M85" s="978"/>
      <c r="N85" s="707">
        <v>0</v>
      </c>
    </row>
    <row r="86" spans="1:14" ht="13.5" customHeight="1">
      <c r="A86" s="1223"/>
      <c r="B86" s="1226"/>
      <c r="C86" s="1226"/>
      <c r="D86" s="1214"/>
      <c r="E86" s="1228"/>
      <c r="F86" s="1214"/>
      <c r="G86" s="1217"/>
      <c r="H86" s="1220"/>
      <c r="I86" s="679" t="s">
        <v>151</v>
      </c>
      <c r="J86" s="990">
        <v>0</v>
      </c>
      <c r="K86" s="234">
        <v>0</v>
      </c>
      <c r="L86" s="234">
        <v>0</v>
      </c>
      <c r="M86" s="979"/>
      <c r="N86" s="708">
        <v>0</v>
      </c>
    </row>
    <row r="87" spans="1:14" ht="13.5" customHeight="1">
      <c r="A87" s="1221">
        <v>12</v>
      </c>
      <c r="B87" s="1224">
        <v>801</v>
      </c>
      <c r="C87" s="1224">
        <v>80101</v>
      </c>
      <c r="D87" s="1215">
        <v>6050</v>
      </c>
      <c r="E87" s="1212" t="s">
        <v>695</v>
      </c>
      <c r="F87" s="1212" t="s">
        <v>720</v>
      </c>
      <c r="G87" s="1215" t="s">
        <v>671</v>
      </c>
      <c r="H87" s="1218">
        <f>20500+49000+2850</f>
        <v>72350</v>
      </c>
      <c r="I87" s="677" t="s">
        <v>166</v>
      </c>
      <c r="J87" s="998">
        <f>J88</f>
        <v>23350</v>
      </c>
      <c r="K87" s="661"/>
      <c r="L87" s="661">
        <v>49000</v>
      </c>
      <c r="M87" s="1094"/>
      <c r="N87" s="1095">
        <v>0</v>
      </c>
    </row>
    <row r="88" spans="1:14" ht="13.5" customHeight="1">
      <c r="A88" s="1222"/>
      <c r="B88" s="1225"/>
      <c r="C88" s="1225"/>
      <c r="D88" s="1213"/>
      <c r="E88" s="1227"/>
      <c r="F88" s="1213"/>
      <c r="G88" s="1216"/>
      <c r="H88" s="1219"/>
      <c r="I88" s="678" t="s">
        <v>150</v>
      </c>
      <c r="J88" s="989">
        <f>20500+2850</f>
        <v>23350</v>
      </c>
      <c r="K88" s="233"/>
      <c r="L88" s="233">
        <v>49000</v>
      </c>
      <c r="M88" s="978"/>
      <c r="N88" s="707">
        <v>0</v>
      </c>
    </row>
    <row r="89" spans="1:14" ht="24.75" customHeight="1">
      <c r="A89" s="1222"/>
      <c r="B89" s="1225"/>
      <c r="C89" s="1225"/>
      <c r="D89" s="1213"/>
      <c r="E89" s="1227"/>
      <c r="F89" s="1213"/>
      <c r="G89" s="1216"/>
      <c r="H89" s="1219"/>
      <c r="I89" s="698" t="s">
        <v>167</v>
      </c>
      <c r="J89" s="989">
        <v>0</v>
      </c>
      <c r="K89" s="233">
        <v>0</v>
      </c>
      <c r="L89" s="233">
        <v>0</v>
      </c>
      <c r="M89" s="978"/>
      <c r="N89" s="707">
        <v>0</v>
      </c>
    </row>
    <row r="90" spans="1:14" ht="13.5" customHeight="1">
      <c r="A90" s="1223"/>
      <c r="B90" s="1226"/>
      <c r="C90" s="1226"/>
      <c r="D90" s="1214"/>
      <c r="E90" s="1228"/>
      <c r="F90" s="1214"/>
      <c r="G90" s="1217"/>
      <c r="H90" s="1220"/>
      <c r="I90" s="679" t="s">
        <v>151</v>
      </c>
      <c r="J90" s="990">
        <v>0</v>
      </c>
      <c r="K90" s="234">
        <v>0</v>
      </c>
      <c r="L90" s="234">
        <v>0</v>
      </c>
      <c r="M90" s="979"/>
      <c r="N90" s="708">
        <v>0</v>
      </c>
    </row>
    <row r="91" spans="1:14" ht="13.5" customHeight="1">
      <c r="A91" s="1240">
        <v>13</v>
      </c>
      <c r="B91" s="1243">
        <v>801</v>
      </c>
      <c r="C91" s="1243">
        <v>80104</v>
      </c>
      <c r="D91" s="1232">
        <v>6050</v>
      </c>
      <c r="E91" s="1229" t="s">
        <v>679</v>
      </c>
      <c r="F91" s="1232" t="s">
        <v>666</v>
      </c>
      <c r="G91" s="1232" t="s">
        <v>163</v>
      </c>
      <c r="H91" s="1237">
        <f>SUM(J91:N91)</f>
        <v>266100</v>
      </c>
      <c r="I91" s="680" t="s">
        <v>166</v>
      </c>
      <c r="J91" s="988">
        <f>J92+J93+J94</f>
        <v>206000</v>
      </c>
      <c r="K91" s="697">
        <v>60100</v>
      </c>
      <c r="L91" s="697">
        <f>L92+L93+L94</f>
        <v>0</v>
      </c>
      <c r="M91" s="1093"/>
      <c r="N91" s="1009">
        <f>N92+N93+N94</f>
        <v>0</v>
      </c>
    </row>
    <row r="92" spans="1:14" ht="13.5" customHeight="1">
      <c r="A92" s="1241"/>
      <c r="B92" s="1244"/>
      <c r="C92" s="1244"/>
      <c r="D92" s="1233"/>
      <c r="E92" s="1230"/>
      <c r="F92" s="1233"/>
      <c r="G92" s="1235"/>
      <c r="H92" s="1238"/>
      <c r="I92" s="678" t="s">
        <v>150</v>
      </c>
      <c r="J92" s="989">
        <v>6000</v>
      </c>
      <c r="K92" s="233"/>
      <c r="L92" s="233"/>
      <c r="M92" s="978"/>
      <c r="N92" s="707"/>
    </row>
    <row r="93" spans="1:14" ht="22.5" customHeight="1">
      <c r="A93" s="1241"/>
      <c r="B93" s="1244"/>
      <c r="C93" s="1244"/>
      <c r="D93" s="1233"/>
      <c r="E93" s="1230"/>
      <c r="F93" s="1233"/>
      <c r="G93" s="1235"/>
      <c r="H93" s="1238"/>
      <c r="I93" s="698" t="s">
        <v>167</v>
      </c>
      <c r="J93" s="989">
        <v>200000</v>
      </c>
      <c r="K93" s="233">
        <v>60100</v>
      </c>
      <c r="L93" s="233">
        <v>0</v>
      </c>
      <c r="M93" s="978"/>
      <c r="N93" s="707">
        <v>0</v>
      </c>
    </row>
    <row r="94" spans="1:14" ht="13.5" customHeight="1">
      <c r="A94" s="1242"/>
      <c r="B94" s="1245"/>
      <c r="C94" s="1245"/>
      <c r="D94" s="1234"/>
      <c r="E94" s="1231"/>
      <c r="F94" s="1234"/>
      <c r="G94" s="1236"/>
      <c r="H94" s="1239"/>
      <c r="I94" s="679" t="s">
        <v>151</v>
      </c>
      <c r="J94" s="990">
        <v>0</v>
      </c>
      <c r="K94" s="234">
        <v>0</v>
      </c>
      <c r="L94" s="234">
        <v>0</v>
      </c>
      <c r="M94" s="979"/>
      <c r="N94" s="708">
        <v>0</v>
      </c>
    </row>
    <row r="95" spans="1:14" s="1010" customFormat="1" ht="13.5" customHeight="1">
      <c r="A95" s="1222">
        <v>14</v>
      </c>
      <c r="B95" s="1225">
        <v>801</v>
      </c>
      <c r="C95" s="1225">
        <v>80195</v>
      </c>
      <c r="D95" s="1213">
        <v>6050</v>
      </c>
      <c r="E95" s="1229" t="s">
        <v>362</v>
      </c>
      <c r="F95" s="1227" t="s">
        <v>720</v>
      </c>
      <c r="G95" s="1213">
        <v>2009</v>
      </c>
      <c r="H95" s="1219">
        <v>110000</v>
      </c>
      <c r="I95" s="680" t="s">
        <v>166</v>
      </c>
      <c r="J95" s="709">
        <v>0</v>
      </c>
      <c r="K95" s="697">
        <f>SUM(K96:K98)</f>
        <v>110000</v>
      </c>
      <c r="L95" s="697">
        <f>SUM(L96:L98)</f>
        <v>0</v>
      </c>
      <c r="M95" s="697">
        <f>SUM(M96:M98)</f>
        <v>0</v>
      </c>
      <c r="N95" s="697">
        <f>SUM(N96:N98)</f>
        <v>0</v>
      </c>
    </row>
    <row r="96" spans="1:14" s="1010" customFormat="1" ht="13.5" customHeight="1">
      <c r="A96" s="1222"/>
      <c r="B96" s="1225"/>
      <c r="C96" s="1225"/>
      <c r="D96" s="1213"/>
      <c r="E96" s="1230"/>
      <c r="F96" s="1213"/>
      <c r="G96" s="1216"/>
      <c r="H96" s="1219"/>
      <c r="I96" s="678" t="s">
        <v>150</v>
      </c>
      <c r="J96" s="233">
        <v>0</v>
      </c>
      <c r="K96" s="233">
        <v>10000</v>
      </c>
      <c r="L96" s="233"/>
      <c r="M96" s="978"/>
      <c r="N96" s="707">
        <v>0</v>
      </c>
    </row>
    <row r="97" spans="1:14" s="1010" customFormat="1" ht="21.75" customHeight="1">
      <c r="A97" s="1222"/>
      <c r="B97" s="1225"/>
      <c r="C97" s="1225"/>
      <c r="D97" s="1213"/>
      <c r="E97" s="1230"/>
      <c r="F97" s="1213"/>
      <c r="G97" s="1216"/>
      <c r="H97" s="1219"/>
      <c r="I97" s="698" t="s">
        <v>167</v>
      </c>
      <c r="J97" s="233">
        <v>0</v>
      </c>
      <c r="K97" s="233">
        <v>0</v>
      </c>
      <c r="L97" s="233">
        <v>0</v>
      </c>
      <c r="M97" s="978"/>
      <c r="N97" s="707">
        <v>0</v>
      </c>
    </row>
    <row r="98" spans="1:14" s="1010" customFormat="1" ht="13.5" customHeight="1">
      <c r="A98" s="1223"/>
      <c r="B98" s="1226"/>
      <c r="C98" s="1226"/>
      <c r="D98" s="1214"/>
      <c r="E98" s="1231"/>
      <c r="F98" s="1214"/>
      <c r="G98" s="1217"/>
      <c r="H98" s="1220"/>
      <c r="I98" s="679" t="s">
        <v>151</v>
      </c>
      <c r="J98" s="234">
        <v>0</v>
      </c>
      <c r="K98" s="234">
        <v>100000</v>
      </c>
      <c r="L98" s="234">
        <v>0</v>
      </c>
      <c r="M98" s="979"/>
      <c r="N98" s="708">
        <v>0</v>
      </c>
    </row>
    <row r="99" spans="1:14" ht="13.5" customHeight="1">
      <c r="A99" s="1221">
        <v>15</v>
      </c>
      <c r="B99" s="1224">
        <v>900</v>
      </c>
      <c r="C99" s="1224">
        <v>90001</v>
      </c>
      <c r="D99" s="1212" t="s">
        <v>364</v>
      </c>
      <c r="E99" s="1212" t="s">
        <v>667</v>
      </c>
      <c r="F99" s="1215" t="s">
        <v>666</v>
      </c>
      <c r="G99" s="1215" t="s">
        <v>358</v>
      </c>
      <c r="H99" s="1218">
        <v>1500000</v>
      </c>
      <c r="I99" s="677" t="s">
        <v>166</v>
      </c>
      <c r="J99" s="988">
        <v>50000</v>
      </c>
      <c r="K99" s="697">
        <v>200000</v>
      </c>
      <c r="L99" s="697">
        <v>1250000</v>
      </c>
      <c r="M99" s="1093"/>
      <c r="N99" s="1009">
        <f>N100+N101+N102</f>
        <v>0</v>
      </c>
    </row>
    <row r="100" spans="1:14" ht="13.5" customHeight="1">
      <c r="A100" s="1222"/>
      <c r="B100" s="1225"/>
      <c r="C100" s="1225"/>
      <c r="D100" s="1213"/>
      <c r="E100" s="1227"/>
      <c r="F100" s="1213"/>
      <c r="G100" s="1216"/>
      <c r="H100" s="1219"/>
      <c r="I100" s="678" t="s">
        <v>150</v>
      </c>
      <c r="J100" s="989">
        <v>50000</v>
      </c>
      <c r="K100" s="233">
        <v>50000</v>
      </c>
      <c r="L100" s="233">
        <f>L99*25%</f>
        <v>312500</v>
      </c>
      <c r="M100" s="978"/>
      <c r="N100" s="707">
        <v>0</v>
      </c>
    </row>
    <row r="101" spans="1:14" ht="24" customHeight="1">
      <c r="A101" s="1222"/>
      <c r="B101" s="1225"/>
      <c r="C101" s="1225"/>
      <c r="D101" s="1213"/>
      <c r="E101" s="1227"/>
      <c r="F101" s="1213"/>
      <c r="G101" s="1216"/>
      <c r="H101" s="1219"/>
      <c r="I101" s="698" t="s">
        <v>167</v>
      </c>
      <c r="J101" s="989">
        <v>0</v>
      </c>
      <c r="K101" s="233">
        <v>150000</v>
      </c>
      <c r="L101" s="233"/>
      <c r="M101" s="978"/>
      <c r="N101" s="707">
        <v>0</v>
      </c>
    </row>
    <row r="102" spans="1:14" ht="13.5" customHeight="1">
      <c r="A102" s="1223"/>
      <c r="B102" s="1226"/>
      <c r="C102" s="1226"/>
      <c r="D102" s="1214"/>
      <c r="E102" s="1228"/>
      <c r="F102" s="1214"/>
      <c r="G102" s="1217"/>
      <c r="H102" s="1220"/>
      <c r="I102" s="679" t="s">
        <v>151</v>
      </c>
      <c r="J102" s="990"/>
      <c r="K102" s="234"/>
      <c r="L102" s="234">
        <v>937500</v>
      </c>
      <c r="M102" s="979"/>
      <c r="N102" s="708">
        <v>0</v>
      </c>
    </row>
    <row r="103" spans="1:14" ht="21" customHeight="1">
      <c r="A103" s="1221">
        <v>16</v>
      </c>
      <c r="B103" s="1224">
        <v>900</v>
      </c>
      <c r="C103" s="1224">
        <v>90001</v>
      </c>
      <c r="D103" s="1212" t="s">
        <v>364</v>
      </c>
      <c r="E103" s="1212" t="s">
        <v>837</v>
      </c>
      <c r="F103" s="1215" t="s">
        <v>666</v>
      </c>
      <c r="G103" s="1215" t="s">
        <v>851</v>
      </c>
      <c r="H103" s="1218">
        <f>2456000+84000</f>
        <v>2540000</v>
      </c>
      <c r="I103" s="680" t="s">
        <v>166</v>
      </c>
      <c r="J103" s="988">
        <f>SUM(J104:J106)</f>
        <v>84000</v>
      </c>
      <c r="K103" s="697">
        <v>100000</v>
      </c>
      <c r="L103" s="697">
        <v>1000000</v>
      </c>
      <c r="M103" s="1093">
        <v>1356000</v>
      </c>
      <c r="N103" s="1009"/>
    </row>
    <row r="104" spans="1:14" ht="14.25" customHeight="1">
      <c r="A104" s="1222"/>
      <c r="B104" s="1225"/>
      <c r="C104" s="1225"/>
      <c r="D104" s="1213"/>
      <c r="E104" s="1227"/>
      <c r="F104" s="1213"/>
      <c r="G104" s="1216"/>
      <c r="H104" s="1219"/>
      <c r="I104" s="678" t="s">
        <v>150</v>
      </c>
      <c r="J104" s="989">
        <v>36000</v>
      </c>
      <c r="K104" s="233">
        <v>25000</v>
      </c>
      <c r="L104" s="233">
        <f>L103*25%</f>
        <v>250000</v>
      </c>
      <c r="M104" s="233">
        <f>M103*25%</f>
        <v>339000</v>
      </c>
      <c r="N104" s="707"/>
    </row>
    <row r="105" spans="1:14" ht="26.25" customHeight="1">
      <c r="A105" s="1222"/>
      <c r="B105" s="1225"/>
      <c r="C105" s="1225"/>
      <c r="D105" s="1213"/>
      <c r="E105" s="1227"/>
      <c r="F105" s="1213"/>
      <c r="G105" s="1216"/>
      <c r="H105" s="1219"/>
      <c r="I105" s="698" t="s">
        <v>167</v>
      </c>
      <c r="J105" s="989"/>
      <c r="K105" s="233">
        <v>75000</v>
      </c>
      <c r="L105" s="233"/>
      <c r="M105" s="978"/>
      <c r="N105" s="707">
        <f>N103-N106</f>
        <v>0</v>
      </c>
    </row>
    <row r="106" spans="1:14" ht="15" customHeight="1">
      <c r="A106" s="1223"/>
      <c r="B106" s="1226"/>
      <c r="C106" s="1226"/>
      <c r="D106" s="1214"/>
      <c r="E106" s="1228"/>
      <c r="F106" s="1214"/>
      <c r="G106" s="1217"/>
      <c r="H106" s="1220"/>
      <c r="I106" s="679" t="s">
        <v>151</v>
      </c>
      <c r="J106" s="990">
        <v>48000</v>
      </c>
      <c r="K106" s="234"/>
      <c r="L106" s="234">
        <f>L103*75%</f>
        <v>750000</v>
      </c>
      <c r="M106" s="234">
        <f>M103*75%</f>
        <v>1017000</v>
      </c>
      <c r="N106" s="708">
        <f>N103*85%</f>
        <v>0</v>
      </c>
    </row>
    <row r="107" spans="1:14" s="1001" customFormat="1" ht="13.5" customHeight="1" hidden="1">
      <c r="A107" s="1221">
        <v>26</v>
      </c>
      <c r="B107" s="1224">
        <v>900</v>
      </c>
      <c r="C107" s="1224">
        <v>90001</v>
      </c>
      <c r="D107" s="1215"/>
      <c r="E107" s="1212" t="s">
        <v>691</v>
      </c>
      <c r="F107" s="1215" t="s">
        <v>666</v>
      </c>
      <c r="G107" s="1215" t="s">
        <v>163</v>
      </c>
      <c r="H107" s="1218"/>
      <c r="I107" s="999" t="s">
        <v>166</v>
      </c>
      <c r="J107" s="1000"/>
      <c r="K107" s="697"/>
      <c r="L107" s="697">
        <v>0</v>
      </c>
      <c r="M107" s="1093"/>
      <c r="N107" s="1009">
        <v>0</v>
      </c>
    </row>
    <row r="108" spans="1:14" s="1001" customFormat="1" ht="13.5" customHeight="1" hidden="1">
      <c r="A108" s="1222"/>
      <c r="B108" s="1225"/>
      <c r="C108" s="1225"/>
      <c r="D108" s="1213"/>
      <c r="E108" s="1227"/>
      <c r="F108" s="1213"/>
      <c r="G108" s="1216"/>
      <c r="H108" s="1219"/>
      <c r="I108" s="1002" t="s">
        <v>150</v>
      </c>
      <c r="J108" s="1003"/>
      <c r="K108" s="233"/>
      <c r="L108" s="233">
        <f>L107*25%</f>
        <v>0</v>
      </c>
      <c r="M108" s="978"/>
      <c r="N108" s="707"/>
    </row>
    <row r="109" spans="1:14" s="1001" customFormat="1" ht="23.25" customHeight="1" hidden="1">
      <c r="A109" s="1222"/>
      <c r="B109" s="1225"/>
      <c r="C109" s="1225"/>
      <c r="D109" s="1213"/>
      <c r="E109" s="1227"/>
      <c r="F109" s="1213"/>
      <c r="G109" s="1216"/>
      <c r="H109" s="1219"/>
      <c r="I109" s="1004" t="s">
        <v>167</v>
      </c>
      <c r="J109" s="1003">
        <v>0</v>
      </c>
      <c r="K109" s="233">
        <v>0</v>
      </c>
      <c r="L109" s="233">
        <v>0</v>
      </c>
      <c r="M109" s="978"/>
      <c r="N109" s="707">
        <v>0</v>
      </c>
    </row>
    <row r="110" spans="1:14" s="1001" customFormat="1" ht="13.5" customHeight="1" hidden="1">
      <c r="A110" s="1223"/>
      <c r="B110" s="1226"/>
      <c r="C110" s="1226"/>
      <c r="D110" s="1214"/>
      <c r="E110" s="1228"/>
      <c r="F110" s="1214"/>
      <c r="G110" s="1217"/>
      <c r="H110" s="1220"/>
      <c r="I110" s="1005" t="s">
        <v>151</v>
      </c>
      <c r="J110" s="1006"/>
      <c r="K110" s="234"/>
      <c r="L110" s="234">
        <f>L107*75%</f>
        <v>0</v>
      </c>
      <c r="M110" s="979"/>
      <c r="N110" s="708">
        <v>0</v>
      </c>
    </row>
    <row r="111" spans="1:14" ht="13.5" customHeight="1">
      <c r="A111" s="1221">
        <v>17</v>
      </c>
      <c r="B111" s="1224">
        <v>900</v>
      </c>
      <c r="C111" s="1224">
        <v>90003</v>
      </c>
      <c r="D111" s="1215">
        <v>6050</v>
      </c>
      <c r="E111" s="1212" t="s">
        <v>668</v>
      </c>
      <c r="F111" s="1215" t="s">
        <v>666</v>
      </c>
      <c r="G111" s="1215" t="s">
        <v>669</v>
      </c>
      <c r="H111" s="1218">
        <v>376400</v>
      </c>
      <c r="I111" s="677" t="s">
        <v>166</v>
      </c>
      <c r="J111" s="988">
        <f>SUM(J112:J114)</f>
        <v>37500</v>
      </c>
      <c r="K111" s="697">
        <f>SUM(K112:K114)</f>
        <v>187200</v>
      </c>
      <c r="L111" s="697">
        <v>151700</v>
      </c>
      <c r="M111" s="1093"/>
      <c r="N111" s="1095"/>
    </row>
    <row r="112" spans="1:14" ht="13.5" customHeight="1">
      <c r="A112" s="1222"/>
      <c r="B112" s="1225"/>
      <c r="C112" s="1225"/>
      <c r="D112" s="1213"/>
      <c r="E112" s="1227"/>
      <c r="F112" s="1213"/>
      <c r="G112" s="1216"/>
      <c r="H112" s="1219"/>
      <c r="I112" s="678" t="s">
        <v>150</v>
      </c>
      <c r="J112" s="989">
        <v>37500</v>
      </c>
      <c r="K112" s="233"/>
      <c r="L112" s="233">
        <v>75850</v>
      </c>
      <c r="M112" s="978"/>
      <c r="N112" s="707">
        <v>0</v>
      </c>
    </row>
    <row r="113" spans="1:14" ht="26.25" customHeight="1">
      <c r="A113" s="1222"/>
      <c r="B113" s="1225"/>
      <c r="C113" s="1225"/>
      <c r="D113" s="1213"/>
      <c r="E113" s="1227"/>
      <c r="F113" s="1213"/>
      <c r="G113" s="1216"/>
      <c r="H113" s="1219"/>
      <c r="I113" s="698" t="s">
        <v>167</v>
      </c>
      <c r="J113" s="989"/>
      <c r="K113" s="233">
        <v>93600</v>
      </c>
      <c r="L113" s="233"/>
      <c r="M113" s="978"/>
      <c r="N113" s="707"/>
    </row>
    <row r="114" spans="1:14" ht="13.5" customHeight="1">
      <c r="A114" s="1223"/>
      <c r="B114" s="1226"/>
      <c r="C114" s="1226"/>
      <c r="D114" s="1214"/>
      <c r="E114" s="1228"/>
      <c r="F114" s="1214"/>
      <c r="G114" s="1217"/>
      <c r="H114" s="1220"/>
      <c r="I114" s="679" t="s">
        <v>151</v>
      </c>
      <c r="J114" s="990"/>
      <c r="K114" s="234">
        <v>93600</v>
      </c>
      <c r="L114" s="234">
        <v>75850</v>
      </c>
      <c r="M114" s="979"/>
      <c r="N114" s="708"/>
    </row>
    <row r="115" spans="1:14" ht="13.5" customHeight="1">
      <c r="A115" s="1221">
        <v>18</v>
      </c>
      <c r="B115" s="1224">
        <v>900</v>
      </c>
      <c r="C115" s="1224">
        <v>90015</v>
      </c>
      <c r="D115" s="1215">
        <v>6050</v>
      </c>
      <c r="E115" s="1212" t="s">
        <v>684</v>
      </c>
      <c r="F115" s="1212" t="s">
        <v>666</v>
      </c>
      <c r="G115" s="1215">
        <v>2009</v>
      </c>
      <c r="H115" s="1218">
        <v>65300</v>
      </c>
      <c r="I115" s="677" t="s">
        <v>166</v>
      </c>
      <c r="J115" s="988">
        <f>J116+J117+J118</f>
        <v>0</v>
      </c>
      <c r="K115" s="697">
        <f>K116+K117+K118</f>
        <v>65300</v>
      </c>
      <c r="L115" s="697">
        <v>0</v>
      </c>
      <c r="M115" s="1093"/>
      <c r="N115" s="1009">
        <v>0</v>
      </c>
    </row>
    <row r="116" spans="1:14" ht="13.5" customHeight="1">
      <c r="A116" s="1222"/>
      <c r="B116" s="1225"/>
      <c r="C116" s="1225"/>
      <c r="D116" s="1213"/>
      <c r="E116" s="1227"/>
      <c r="F116" s="1213"/>
      <c r="G116" s="1216"/>
      <c r="H116" s="1219"/>
      <c r="I116" s="678" t="s">
        <v>150</v>
      </c>
      <c r="J116" s="989"/>
      <c r="K116" s="233">
        <v>65300</v>
      </c>
      <c r="L116" s="233">
        <v>0</v>
      </c>
      <c r="M116" s="978"/>
      <c r="N116" s="707">
        <v>0</v>
      </c>
    </row>
    <row r="117" spans="1:14" ht="21" customHeight="1">
      <c r="A117" s="1222"/>
      <c r="B117" s="1225"/>
      <c r="C117" s="1225"/>
      <c r="D117" s="1213"/>
      <c r="E117" s="1227"/>
      <c r="F117" s="1213"/>
      <c r="G117" s="1216"/>
      <c r="H117" s="1219"/>
      <c r="I117" s="698" t="s">
        <v>167</v>
      </c>
      <c r="J117" s="989">
        <v>0</v>
      </c>
      <c r="K117" s="233">
        <v>0</v>
      </c>
      <c r="L117" s="233">
        <v>0</v>
      </c>
      <c r="M117" s="978"/>
      <c r="N117" s="707">
        <v>0</v>
      </c>
    </row>
    <row r="118" spans="1:14" ht="13.5" customHeight="1">
      <c r="A118" s="1223"/>
      <c r="B118" s="1226"/>
      <c r="C118" s="1226"/>
      <c r="D118" s="1214"/>
      <c r="E118" s="1228"/>
      <c r="F118" s="1214"/>
      <c r="G118" s="1217"/>
      <c r="H118" s="1220"/>
      <c r="I118" s="679" t="s">
        <v>151</v>
      </c>
      <c r="J118" s="990">
        <v>0</v>
      </c>
      <c r="K118" s="234"/>
      <c r="L118" s="234">
        <v>0</v>
      </c>
      <c r="M118" s="979"/>
      <c r="N118" s="708">
        <v>0</v>
      </c>
    </row>
    <row r="119" spans="1:14" ht="13.5" customHeight="1">
      <c r="A119" s="1221">
        <v>19</v>
      </c>
      <c r="B119" s="1224">
        <v>900</v>
      </c>
      <c r="C119" s="1224">
        <v>90095</v>
      </c>
      <c r="D119" s="1215">
        <v>6050</v>
      </c>
      <c r="E119" s="1212" t="s">
        <v>365</v>
      </c>
      <c r="F119" s="1212" t="s">
        <v>666</v>
      </c>
      <c r="G119" s="1215" t="s">
        <v>675</v>
      </c>
      <c r="H119" s="1218">
        <v>252000</v>
      </c>
      <c r="I119" s="680" t="s">
        <v>166</v>
      </c>
      <c r="J119" s="988"/>
      <c r="K119" s="697">
        <f>SUM(K120:K122)</f>
        <v>110000</v>
      </c>
      <c r="L119" s="697">
        <f>SUM(L120:L122)</f>
        <v>142000</v>
      </c>
      <c r="M119" s="1093"/>
      <c r="N119" s="1009">
        <v>0</v>
      </c>
    </row>
    <row r="120" spans="1:14" ht="13.5" customHeight="1">
      <c r="A120" s="1222"/>
      <c r="B120" s="1225"/>
      <c r="C120" s="1225"/>
      <c r="D120" s="1213"/>
      <c r="E120" s="1227"/>
      <c r="F120" s="1213"/>
      <c r="G120" s="1216"/>
      <c r="H120" s="1219"/>
      <c r="I120" s="678" t="s">
        <v>150</v>
      </c>
      <c r="J120" s="989"/>
      <c r="K120" s="233">
        <v>10000</v>
      </c>
      <c r="L120" s="233">
        <v>142000</v>
      </c>
      <c r="M120" s="978"/>
      <c r="N120" s="707"/>
    </row>
    <row r="121" spans="1:14" ht="26.25" customHeight="1">
      <c r="A121" s="1222"/>
      <c r="B121" s="1225"/>
      <c r="C121" s="1225"/>
      <c r="D121" s="1213"/>
      <c r="E121" s="1227"/>
      <c r="F121" s="1213"/>
      <c r="G121" s="1216"/>
      <c r="H121" s="1219"/>
      <c r="I121" s="698" t="s">
        <v>167</v>
      </c>
      <c r="J121" s="989">
        <v>0</v>
      </c>
      <c r="K121" s="233">
        <v>100000</v>
      </c>
      <c r="L121" s="233">
        <v>0</v>
      </c>
      <c r="M121" s="978"/>
      <c r="N121" s="707">
        <v>0</v>
      </c>
    </row>
    <row r="122" spans="1:14" ht="13.5" customHeight="1">
      <c r="A122" s="1223"/>
      <c r="B122" s="1226"/>
      <c r="C122" s="1226"/>
      <c r="D122" s="1214"/>
      <c r="E122" s="1228"/>
      <c r="F122" s="1214"/>
      <c r="G122" s="1217"/>
      <c r="H122" s="1220"/>
      <c r="I122" s="679" t="s">
        <v>151</v>
      </c>
      <c r="J122" s="990"/>
      <c r="K122" s="234"/>
      <c r="L122" s="234">
        <v>0</v>
      </c>
      <c r="M122" s="979"/>
      <c r="N122" s="708">
        <v>0</v>
      </c>
    </row>
    <row r="123" spans="1:14" ht="13.5" customHeight="1">
      <c r="A123" s="1221">
        <v>20</v>
      </c>
      <c r="B123" s="1224">
        <v>921</v>
      </c>
      <c r="C123" s="1224">
        <v>92109</v>
      </c>
      <c r="D123" s="1212" t="s">
        <v>367</v>
      </c>
      <c r="E123" s="1212" t="s">
        <v>697</v>
      </c>
      <c r="F123" s="1212" t="s">
        <v>686</v>
      </c>
      <c r="G123" s="1215" t="s">
        <v>163</v>
      </c>
      <c r="H123" s="1218">
        <f>K123+J123</f>
        <v>364625</v>
      </c>
      <c r="I123" s="680" t="s">
        <v>166</v>
      </c>
      <c r="J123" s="988">
        <v>6000</v>
      </c>
      <c r="K123" s="697">
        <f>SUM(K124:K126)</f>
        <v>358625</v>
      </c>
      <c r="L123" s="697">
        <v>0</v>
      </c>
      <c r="M123" s="1093"/>
      <c r="N123" s="1009">
        <v>0</v>
      </c>
    </row>
    <row r="124" spans="1:14" ht="13.5" customHeight="1">
      <c r="A124" s="1222"/>
      <c r="B124" s="1225"/>
      <c r="C124" s="1225"/>
      <c r="D124" s="1213"/>
      <c r="E124" s="1227"/>
      <c r="F124" s="1213"/>
      <c r="G124" s="1216"/>
      <c r="H124" s="1219"/>
      <c r="I124" s="678" t="s">
        <v>150</v>
      </c>
      <c r="J124" s="989">
        <v>6000</v>
      </c>
      <c r="K124" s="233">
        <v>89657</v>
      </c>
      <c r="L124" s="233">
        <v>0</v>
      </c>
      <c r="M124" s="978"/>
      <c r="N124" s="707"/>
    </row>
    <row r="125" spans="1:14" ht="26.25" customHeight="1">
      <c r="A125" s="1222"/>
      <c r="B125" s="1225"/>
      <c r="C125" s="1225"/>
      <c r="D125" s="1213"/>
      <c r="E125" s="1227"/>
      <c r="F125" s="1213"/>
      <c r="G125" s="1216"/>
      <c r="H125" s="1219"/>
      <c r="I125" s="698" t="s">
        <v>167</v>
      </c>
      <c r="J125" s="989">
        <v>0</v>
      </c>
      <c r="K125" s="233">
        <v>268968</v>
      </c>
      <c r="L125" s="233">
        <v>0</v>
      </c>
      <c r="M125" s="978"/>
      <c r="N125" s="707">
        <v>0</v>
      </c>
    </row>
    <row r="126" spans="1:14" ht="13.5" customHeight="1">
      <c r="A126" s="1223"/>
      <c r="B126" s="1226"/>
      <c r="C126" s="1226"/>
      <c r="D126" s="1214"/>
      <c r="E126" s="1228"/>
      <c r="F126" s="1214"/>
      <c r="G126" s="1217"/>
      <c r="H126" s="1220"/>
      <c r="I126" s="679" t="s">
        <v>151</v>
      </c>
      <c r="J126" s="990"/>
      <c r="K126" s="234"/>
      <c r="L126" s="234">
        <v>0</v>
      </c>
      <c r="M126" s="979"/>
      <c r="N126" s="708">
        <v>0</v>
      </c>
    </row>
    <row r="127" spans="1:14" ht="13.5" customHeight="1">
      <c r="A127" s="1221">
        <v>21</v>
      </c>
      <c r="B127" s="1224">
        <v>921</v>
      </c>
      <c r="C127" s="1224">
        <v>92109</v>
      </c>
      <c r="D127" s="1212" t="s">
        <v>367</v>
      </c>
      <c r="E127" s="1212" t="s">
        <v>698</v>
      </c>
      <c r="F127" s="1212" t="s">
        <v>687</v>
      </c>
      <c r="G127" s="1215" t="s">
        <v>675</v>
      </c>
      <c r="H127" s="1218">
        <v>365000</v>
      </c>
      <c r="I127" s="677" t="s">
        <v>166</v>
      </c>
      <c r="J127" s="988">
        <v>0</v>
      </c>
      <c r="K127" s="697">
        <v>25000</v>
      </c>
      <c r="L127" s="697">
        <v>340000</v>
      </c>
      <c r="M127" s="1093"/>
      <c r="N127" s="1009">
        <v>0</v>
      </c>
    </row>
    <row r="128" spans="1:14" ht="13.5" customHeight="1">
      <c r="A128" s="1222"/>
      <c r="B128" s="1225"/>
      <c r="C128" s="1225"/>
      <c r="D128" s="1213"/>
      <c r="E128" s="1227"/>
      <c r="F128" s="1213"/>
      <c r="G128" s="1216"/>
      <c r="H128" s="1219"/>
      <c r="I128" s="678" t="s">
        <v>150</v>
      </c>
      <c r="J128" s="989">
        <v>0</v>
      </c>
      <c r="K128" s="233">
        <v>25000</v>
      </c>
      <c r="L128" s="233">
        <f>L127*25%</f>
        <v>85000</v>
      </c>
      <c r="M128" s="978"/>
      <c r="N128" s="707"/>
    </row>
    <row r="129" spans="1:14" ht="26.25" customHeight="1">
      <c r="A129" s="1222"/>
      <c r="B129" s="1225"/>
      <c r="C129" s="1225"/>
      <c r="D129" s="1213"/>
      <c r="E129" s="1227"/>
      <c r="F129" s="1213"/>
      <c r="G129" s="1216"/>
      <c r="H129" s="1219"/>
      <c r="I129" s="698" t="s">
        <v>167</v>
      </c>
      <c r="J129" s="989">
        <v>0</v>
      </c>
      <c r="K129" s="233">
        <v>0</v>
      </c>
      <c r="L129" s="233">
        <v>0</v>
      </c>
      <c r="M129" s="978"/>
      <c r="N129" s="707">
        <v>0</v>
      </c>
    </row>
    <row r="130" spans="1:14" ht="13.5" customHeight="1">
      <c r="A130" s="1223"/>
      <c r="B130" s="1226"/>
      <c r="C130" s="1226"/>
      <c r="D130" s="1214"/>
      <c r="E130" s="1228"/>
      <c r="F130" s="1214"/>
      <c r="G130" s="1217"/>
      <c r="H130" s="1220"/>
      <c r="I130" s="679" t="s">
        <v>151</v>
      </c>
      <c r="J130" s="990">
        <v>0</v>
      </c>
      <c r="K130" s="234"/>
      <c r="L130" s="234">
        <f>L127*75%</f>
        <v>255000</v>
      </c>
      <c r="M130" s="979"/>
      <c r="N130" s="708">
        <v>0</v>
      </c>
    </row>
    <row r="131" spans="1:14" ht="13.5" customHeight="1">
      <c r="A131" s="1221">
        <v>22</v>
      </c>
      <c r="B131" s="1224">
        <v>921</v>
      </c>
      <c r="C131" s="1224">
        <v>92109</v>
      </c>
      <c r="D131" s="1212" t="s">
        <v>367</v>
      </c>
      <c r="E131" s="1212" t="s">
        <v>699</v>
      </c>
      <c r="F131" s="1212" t="s">
        <v>688</v>
      </c>
      <c r="G131" s="1215" t="s">
        <v>360</v>
      </c>
      <c r="H131" s="1218">
        <v>438300</v>
      </c>
      <c r="I131" s="680" t="s">
        <v>166</v>
      </c>
      <c r="J131" s="988">
        <f>J132+J133+J134</f>
        <v>8300</v>
      </c>
      <c r="K131" s="697">
        <v>0</v>
      </c>
      <c r="L131" s="697"/>
      <c r="M131" s="1093"/>
      <c r="N131" s="1009">
        <v>430000</v>
      </c>
    </row>
    <row r="132" spans="1:14" ht="13.5" customHeight="1">
      <c r="A132" s="1222"/>
      <c r="B132" s="1225"/>
      <c r="C132" s="1225"/>
      <c r="D132" s="1213"/>
      <c r="E132" s="1227"/>
      <c r="F132" s="1213"/>
      <c r="G132" s="1216"/>
      <c r="H132" s="1219"/>
      <c r="I132" s="678" t="s">
        <v>150</v>
      </c>
      <c r="J132" s="989">
        <v>8300</v>
      </c>
      <c r="K132" s="233">
        <v>0</v>
      </c>
      <c r="L132" s="233"/>
      <c r="M132" s="978"/>
      <c r="N132" s="707">
        <f>N131*25%</f>
        <v>107500</v>
      </c>
    </row>
    <row r="133" spans="1:14" ht="20.25" customHeight="1">
      <c r="A133" s="1222"/>
      <c r="B133" s="1225"/>
      <c r="C133" s="1225"/>
      <c r="D133" s="1213"/>
      <c r="E133" s="1227"/>
      <c r="F133" s="1213"/>
      <c r="G133" s="1216"/>
      <c r="H133" s="1219"/>
      <c r="I133" s="698" t="s">
        <v>167</v>
      </c>
      <c r="J133" s="989">
        <v>0</v>
      </c>
      <c r="K133" s="233">
        <v>0</v>
      </c>
      <c r="L133" s="233">
        <v>0</v>
      </c>
      <c r="M133" s="978"/>
      <c r="N133" s="707">
        <v>0</v>
      </c>
    </row>
    <row r="134" spans="1:14" ht="13.5" customHeight="1">
      <c r="A134" s="1223"/>
      <c r="B134" s="1226"/>
      <c r="C134" s="1226"/>
      <c r="D134" s="1214"/>
      <c r="E134" s="1228"/>
      <c r="F134" s="1214"/>
      <c r="G134" s="1217"/>
      <c r="H134" s="1220"/>
      <c r="I134" s="679" t="s">
        <v>151</v>
      </c>
      <c r="J134" s="990">
        <v>0</v>
      </c>
      <c r="K134" s="234">
        <f>K131*75%</f>
        <v>0</v>
      </c>
      <c r="L134" s="234">
        <f>L131*75%</f>
        <v>0</v>
      </c>
      <c r="M134" s="979"/>
      <c r="N134" s="708">
        <f>N131*75%</f>
        <v>322500</v>
      </c>
    </row>
    <row r="135" spans="1:14" ht="13.5" customHeight="1">
      <c r="A135" s="1240">
        <v>23</v>
      </c>
      <c r="B135" s="1243">
        <v>921</v>
      </c>
      <c r="C135" s="1243">
        <v>92109</v>
      </c>
      <c r="D135" s="1229">
        <v>6050</v>
      </c>
      <c r="E135" s="1229" t="s">
        <v>363</v>
      </c>
      <c r="F135" s="1232" t="s">
        <v>666</v>
      </c>
      <c r="G135" s="1232">
        <v>2009</v>
      </c>
      <c r="H135" s="1237">
        <v>15000</v>
      </c>
      <c r="I135" s="699" t="s">
        <v>166</v>
      </c>
      <c r="J135" s="995"/>
      <c r="K135" s="697">
        <f>K136+K137+K138</f>
        <v>15000</v>
      </c>
      <c r="L135" s="697"/>
      <c r="M135" s="1093"/>
      <c r="N135" s="1009"/>
    </row>
    <row r="136" spans="1:14" ht="13.5" customHeight="1">
      <c r="A136" s="1241"/>
      <c r="B136" s="1244"/>
      <c r="C136" s="1244"/>
      <c r="D136" s="1233"/>
      <c r="E136" s="1230"/>
      <c r="F136" s="1233"/>
      <c r="G136" s="1235"/>
      <c r="H136" s="1238"/>
      <c r="I136" s="700" t="s">
        <v>150</v>
      </c>
      <c r="J136" s="996"/>
      <c r="K136" s="749">
        <v>15000</v>
      </c>
      <c r="L136" s="749"/>
      <c r="M136" s="982"/>
      <c r="N136" s="750"/>
    </row>
    <row r="137" spans="1:14" ht="26.25" customHeight="1">
      <c r="A137" s="1241"/>
      <c r="B137" s="1244"/>
      <c r="C137" s="1244"/>
      <c r="D137" s="1233"/>
      <c r="E137" s="1230"/>
      <c r="F137" s="1233"/>
      <c r="G137" s="1235"/>
      <c r="H137" s="1238"/>
      <c r="I137" s="701" t="s">
        <v>167</v>
      </c>
      <c r="J137" s="996"/>
      <c r="K137" s="749"/>
      <c r="L137" s="749"/>
      <c r="M137" s="982"/>
      <c r="N137" s="750">
        <v>0</v>
      </c>
    </row>
    <row r="138" spans="1:14" ht="13.5" customHeight="1">
      <c r="A138" s="1242"/>
      <c r="B138" s="1245"/>
      <c r="C138" s="1245"/>
      <c r="D138" s="1234"/>
      <c r="E138" s="1231"/>
      <c r="F138" s="1234"/>
      <c r="G138" s="1236"/>
      <c r="H138" s="1239"/>
      <c r="I138" s="702" t="s">
        <v>151</v>
      </c>
      <c r="J138" s="997"/>
      <c r="K138" s="751"/>
      <c r="L138" s="751"/>
      <c r="M138" s="983"/>
      <c r="N138" s="752">
        <v>0</v>
      </c>
    </row>
    <row r="139" spans="1:14" ht="13.5" customHeight="1">
      <c r="A139" s="1240">
        <v>24</v>
      </c>
      <c r="B139" s="1243">
        <v>926</v>
      </c>
      <c r="C139" s="1243">
        <v>92601</v>
      </c>
      <c r="D139" s="1229">
        <v>6050</v>
      </c>
      <c r="E139" s="1229" t="s">
        <v>359</v>
      </c>
      <c r="F139" s="1232" t="s">
        <v>666</v>
      </c>
      <c r="G139" s="1232" t="s">
        <v>360</v>
      </c>
      <c r="H139" s="1237">
        <f>2580000+28000</f>
        <v>2608000</v>
      </c>
      <c r="I139" s="699" t="s">
        <v>166</v>
      </c>
      <c r="J139" s="988">
        <v>73000</v>
      </c>
      <c r="K139" s="697">
        <f>K140+K141+K142</f>
        <v>235000</v>
      </c>
      <c r="L139" s="697">
        <f>L140+L142</f>
        <v>1000000</v>
      </c>
      <c r="M139" s="1093">
        <v>100000</v>
      </c>
      <c r="N139" s="1009">
        <v>1200000</v>
      </c>
    </row>
    <row r="140" spans="1:14" ht="13.5" customHeight="1">
      <c r="A140" s="1241"/>
      <c r="B140" s="1244"/>
      <c r="C140" s="1244"/>
      <c r="D140" s="1233"/>
      <c r="E140" s="1230"/>
      <c r="F140" s="1233"/>
      <c r="G140" s="1235"/>
      <c r="H140" s="1238"/>
      <c r="I140" s="700" t="s">
        <v>150</v>
      </c>
      <c r="J140" s="991">
        <v>73000</v>
      </c>
      <c r="K140" s="753">
        <v>35000</v>
      </c>
      <c r="L140" s="753">
        <v>333000</v>
      </c>
      <c r="M140" s="980">
        <v>100000</v>
      </c>
      <c r="N140" s="754">
        <v>1200000</v>
      </c>
    </row>
    <row r="141" spans="1:14" ht="26.25" customHeight="1">
      <c r="A141" s="1241"/>
      <c r="B141" s="1244"/>
      <c r="C141" s="1244"/>
      <c r="D141" s="1233"/>
      <c r="E141" s="1230"/>
      <c r="F141" s="1233"/>
      <c r="G141" s="1235"/>
      <c r="H141" s="1238"/>
      <c r="I141" s="701" t="s">
        <v>167</v>
      </c>
      <c r="J141" s="991"/>
      <c r="K141" s="753">
        <v>200000</v>
      </c>
      <c r="L141" s="753"/>
      <c r="M141" s="980"/>
      <c r="N141" s="754">
        <v>0</v>
      </c>
    </row>
    <row r="142" spans="1:14" ht="13.5" customHeight="1">
      <c r="A142" s="1242"/>
      <c r="B142" s="1245"/>
      <c r="C142" s="1245"/>
      <c r="D142" s="1234"/>
      <c r="E142" s="1231"/>
      <c r="F142" s="1234"/>
      <c r="G142" s="1236"/>
      <c r="H142" s="1239"/>
      <c r="I142" s="702" t="s">
        <v>151</v>
      </c>
      <c r="J142" s="992"/>
      <c r="K142" s="755"/>
      <c r="L142" s="755">
        <v>667000</v>
      </c>
      <c r="M142" s="981"/>
      <c r="N142" s="756">
        <v>0</v>
      </c>
    </row>
    <row r="143" spans="1:14" ht="13.5" customHeight="1">
      <c r="A143" s="1221">
        <v>25</v>
      </c>
      <c r="B143" s="1224">
        <v>926</v>
      </c>
      <c r="C143" s="1224">
        <v>92601</v>
      </c>
      <c r="D143" s="1212" t="s">
        <v>367</v>
      </c>
      <c r="E143" s="1212" t="s">
        <v>719</v>
      </c>
      <c r="F143" s="1215" t="s">
        <v>666</v>
      </c>
      <c r="G143" s="1215" t="s">
        <v>569</v>
      </c>
      <c r="H143" s="1218">
        <v>660000</v>
      </c>
      <c r="I143" s="677" t="s">
        <v>166</v>
      </c>
      <c r="J143" s="988">
        <f>J144+J145+J146</f>
        <v>0</v>
      </c>
      <c r="K143" s="697">
        <v>22000</v>
      </c>
      <c r="L143" s="697">
        <v>319000</v>
      </c>
      <c r="M143" s="1093">
        <v>319000</v>
      </c>
      <c r="N143" s="1009">
        <f>N144+N145+N146</f>
        <v>0</v>
      </c>
    </row>
    <row r="144" spans="1:14" ht="13.5" customHeight="1">
      <c r="A144" s="1222"/>
      <c r="B144" s="1225"/>
      <c r="C144" s="1225"/>
      <c r="D144" s="1213"/>
      <c r="E144" s="1227"/>
      <c r="F144" s="1213"/>
      <c r="G144" s="1213"/>
      <c r="H144" s="1219"/>
      <c r="I144" s="678" t="s">
        <v>150</v>
      </c>
      <c r="J144" s="989">
        <v>0</v>
      </c>
      <c r="K144" s="233">
        <v>22000</v>
      </c>
      <c r="L144" s="233">
        <f>L143/2</f>
        <v>159500</v>
      </c>
      <c r="M144" s="233">
        <f>M143/2</f>
        <v>159500</v>
      </c>
      <c r="N144" s="707"/>
    </row>
    <row r="145" spans="1:14" ht="21" customHeight="1">
      <c r="A145" s="1222"/>
      <c r="B145" s="1225"/>
      <c r="C145" s="1225"/>
      <c r="D145" s="1213"/>
      <c r="E145" s="1227"/>
      <c r="F145" s="1213"/>
      <c r="G145" s="1213"/>
      <c r="H145" s="1219"/>
      <c r="I145" s="698" t="s">
        <v>167</v>
      </c>
      <c r="J145" s="989">
        <v>0</v>
      </c>
      <c r="K145" s="233">
        <v>0</v>
      </c>
      <c r="L145" s="233">
        <v>0</v>
      </c>
      <c r="M145" s="978"/>
      <c r="N145" s="707">
        <v>0</v>
      </c>
    </row>
    <row r="146" spans="1:14" ht="13.5" customHeight="1">
      <c r="A146" s="1223"/>
      <c r="B146" s="1226"/>
      <c r="C146" s="1226"/>
      <c r="D146" s="1214"/>
      <c r="E146" s="1228"/>
      <c r="F146" s="1214"/>
      <c r="G146" s="1214"/>
      <c r="H146" s="1220"/>
      <c r="I146" s="679" t="s">
        <v>151</v>
      </c>
      <c r="J146" s="990">
        <v>0</v>
      </c>
      <c r="K146" s="234"/>
      <c r="L146" s="234">
        <f>L143/2</f>
        <v>159500</v>
      </c>
      <c r="M146" s="234">
        <f>M143/2</f>
        <v>159500</v>
      </c>
      <c r="N146" s="708">
        <v>0</v>
      </c>
    </row>
    <row r="147" spans="1:14" s="1001" customFormat="1" ht="13.5" customHeight="1" hidden="1">
      <c r="A147" s="1221">
        <v>36</v>
      </c>
      <c r="B147" s="1224">
        <v>926</v>
      </c>
      <c r="C147" s="1224">
        <v>92605</v>
      </c>
      <c r="D147" s="1194"/>
      <c r="E147" s="1189" t="s">
        <v>700</v>
      </c>
      <c r="F147" s="1194" t="s">
        <v>666</v>
      </c>
      <c r="G147" s="1194"/>
      <c r="H147" s="1197"/>
      <c r="I147" s="1007" t="s">
        <v>166</v>
      </c>
      <c r="J147" s="1000">
        <v>0</v>
      </c>
      <c r="K147" s="697"/>
      <c r="L147" s="697"/>
      <c r="M147" s="1093"/>
      <c r="N147" s="1009">
        <v>0</v>
      </c>
    </row>
    <row r="148" spans="1:14" s="1001" customFormat="1" ht="13.5" customHeight="1" hidden="1">
      <c r="A148" s="1222"/>
      <c r="B148" s="1225"/>
      <c r="C148" s="1225"/>
      <c r="D148" s="1192"/>
      <c r="E148" s="1190"/>
      <c r="F148" s="1192"/>
      <c r="G148" s="1192"/>
      <c r="H148" s="1198"/>
      <c r="I148" s="1002" t="s">
        <v>150</v>
      </c>
      <c r="J148" s="1003">
        <v>0</v>
      </c>
      <c r="K148" s="233"/>
      <c r="L148" s="233"/>
      <c r="M148" s="978"/>
      <c r="N148" s="707">
        <v>0</v>
      </c>
    </row>
    <row r="149" spans="1:14" s="1001" customFormat="1" ht="26.25" customHeight="1" hidden="1">
      <c r="A149" s="1222"/>
      <c r="B149" s="1225"/>
      <c r="C149" s="1225"/>
      <c r="D149" s="1192"/>
      <c r="E149" s="1190"/>
      <c r="F149" s="1192"/>
      <c r="G149" s="1192"/>
      <c r="H149" s="1198"/>
      <c r="I149" s="1004" t="s">
        <v>167</v>
      </c>
      <c r="J149" s="1003">
        <v>0</v>
      </c>
      <c r="K149" s="233">
        <v>0</v>
      </c>
      <c r="L149" s="233">
        <v>0</v>
      </c>
      <c r="M149" s="978"/>
      <c r="N149" s="707">
        <v>0</v>
      </c>
    </row>
    <row r="150" spans="1:14" s="1001" customFormat="1" ht="13.5" customHeight="1" hidden="1">
      <c r="A150" s="1223"/>
      <c r="B150" s="1226"/>
      <c r="C150" s="1226"/>
      <c r="D150" s="1193"/>
      <c r="E150" s="1191"/>
      <c r="F150" s="1193"/>
      <c r="G150" s="1193"/>
      <c r="H150" s="1199"/>
      <c r="I150" s="1008" t="s">
        <v>151</v>
      </c>
      <c r="J150" s="1006">
        <v>0</v>
      </c>
      <c r="K150" s="234">
        <v>0</v>
      </c>
      <c r="L150" s="234">
        <v>0</v>
      </c>
      <c r="M150" s="979"/>
      <c r="N150" s="708">
        <v>0</v>
      </c>
    </row>
    <row r="151" spans="1:14" ht="13.5" customHeight="1">
      <c r="A151" s="1221">
        <v>26</v>
      </c>
      <c r="B151" s="1224">
        <v>926</v>
      </c>
      <c r="C151" s="1224">
        <v>92695</v>
      </c>
      <c r="D151" s="1215">
        <v>6050</v>
      </c>
      <c r="E151" s="1212" t="s">
        <v>366</v>
      </c>
      <c r="F151" s="1212" t="s">
        <v>361</v>
      </c>
      <c r="G151" s="1215">
        <v>2009</v>
      </c>
      <c r="H151" s="1218">
        <v>60000</v>
      </c>
      <c r="I151" s="677" t="s">
        <v>166</v>
      </c>
      <c r="J151" s="988">
        <f>J152+J153+J154</f>
        <v>0</v>
      </c>
      <c r="K151" s="697">
        <v>60000</v>
      </c>
      <c r="L151" s="697"/>
      <c r="M151" s="1093"/>
      <c r="N151" s="1009">
        <f>N152+N153+N154</f>
        <v>0</v>
      </c>
    </row>
    <row r="152" spans="1:14" ht="13.5" customHeight="1">
      <c r="A152" s="1222"/>
      <c r="B152" s="1225"/>
      <c r="C152" s="1225"/>
      <c r="D152" s="1213"/>
      <c r="E152" s="1227"/>
      <c r="F152" s="1213"/>
      <c r="G152" s="1216"/>
      <c r="H152" s="1219"/>
      <c r="I152" s="678" t="s">
        <v>150</v>
      </c>
      <c r="J152" s="989">
        <v>0</v>
      </c>
      <c r="K152" s="233">
        <v>60000</v>
      </c>
      <c r="L152" s="233"/>
      <c r="M152" s="978"/>
      <c r="N152" s="707">
        <v>0</v>
      </c>
    </row>
    <row r="153" spans="1:14" ht="26.25" customHeight="1">
      <c r="A153" s="1222"/>
      <c r="B153" s="1225"/>
      <c r="C153" s="1225"/>
      <c r="D153" s="1213"/>
      <c r="E153" s="1227"/>
      <c r="F153" s="1213"/>
      <c r="G153" s="1216"/>
      <c r="H153" s="1219"/>
      <c r="I153" s="698" t="s">
        <v>167</v>
      </c>
      <c r="J153" s="989">
        <v>0</v>
      </c>
      <c r="K153" s="233">
        <v>0</v>
      </c>
      <c r="L153" s="233">
        <v>0</v>
      </c>
      <c r="M153" s="978"/>
      <c r="N153" s="707">
        <v>0</v>
      </c>
    </row>
    <row r="154" spans="1:14" ht="13.5" customHeight="1" thickBot="1">
      <c r="A154" s="1223"/>
      <c r="B154" s="1226"/>
      <c r="C154" s="1226"/>
      <c r="D154" s="1214"/>
      <c r="E154" s="1228"/>
      <c r="F154" s="1214"/>
      <c r="G154" s="1217"/>
      <c r="H154" s="1220"/>
      <c r="I154" s="679" t="s">
        <v>151</v>
      </c>
      <c r="J154" s="990">
        <v>0</v>
      </c>
      <c r="K154" s="234"/>
      <c r="L154" s="234"/>
      <c r="M154" s="979"/>
      <c r="N154" s="708">
        <v>0</v>
      </c>
    </row>
    <row r="155" spans="1:14" s="1001" customFormat="1" ht="13.5" customHeight="1" hidden="1">
      <c r="A155" s="1204">
        <v>38</v>
      </c>
      <c r="B155" s="1207">
        <v>926</v>
      </c>
      <c r="C155" s="1207">
        <v>92695</v>
      </c>
      <c r="D155" s="1194"/>
      <c r="E155" s="1189" t="s">
        <v>722</v>
      </c>
      <c r="F155" s="1189" t="s">
        <v>723</v>
      </c>
      <c r="G155" s="1194"/>
      <c r="H155" s="1197"/>
      <c r="I155" s="1007" t="s">
        <v>166</v>
      </c>
      <c r="J155" s="1000">
        <f>J156+J157+J158</f>
        <v>0</v>
      </c>
      <c r="K155" s="697"/>
      <c r="L155" s="697"/>
      <c r="M155" s="1093"/>
      <c r="N155" s="1009">
        <f>N156+N157+N158</f>
        <v>0</v>
      </c>
    </row>
    <row r="156" spans="1:14" s="1001" customFormat="1" ht="13.5" customHeight="1" hidden="1">
      <c r="A156" s="1205"/>
      <c r="B156" s="1208"/>
      <c r="C156" s="1208"/>
      <c r="D156" s="1192"/>
      <c r="E156" s="1190"/>
      <c r="F156" s="1192"/>
      <c r="G156" s="1195"/>
      <c r="H156" s="1198"/>
      <c r="I156" s="1002" t="s">
        <v>150</v>
      </c>
      <c r="J156" s="1003">
        <v>0</v>
      </c>
      <c r="K156" s="233">
        <f>K155*25%</f>
        <v>0</v>
      </c>
      <c r="L156" s="233">
        <f>L155*25%</f>
        <v>0</v>
      </c>
      <c r="M156" s="978"/>
      <c r="N156" s="707">
        <v>0</v>
      </c>
    </row>
    <row r="157" spans="1:14" s="1001" customFormat="1" ht="26.25" customHeight="1" hidden="1">
      <c r="A157" s="1205"/>
      <c r="B157" s="1208"/>
      <c r="C157" s="1208"/>
      <c r="D157" s="1192"/>
      <c r="E157" s="1190"/>
      <c r="F157" s="1192"/>
      <c r="G157" s="1195"/>
      <c r="H157" s="1198"/>
      <c r="I157" s="1004" t="s">
        <v>167</v>
      </c>
      <c r="J157" s="1003">
        <v>0</v>
      </c>
      <c r="K157" s="233">
        <v>0</v>
      </c>
      <c r="L157" s="233">
        <v>0</v>
      </c>
      <c r="M157" s="978"/>
      <c r="N157" s="707">
        <v>0</v>
      </c>
    </row>
    <row r="158" spans="1:14" s="1001" customFormat="1" ht="13.5" customHeight="1" hidden="1">
      <c r="A158" s="1210"/>
      <c r="B158" s="1211"/>
      <c r="C158" s="1211"/>
      <c r="D158" s="1193"/>
      <c r="E158" s="1191"/>
      <c r="F158" s="1193"/>
      <c r="G158" s="1196"/>
      <c r="H158" s="1199"/>
      <c r="I158" s="1008" t="s">
        <v>151</v>
      </c>
      <c r="J158" s="1006">
        <v>0</v>
      </c>
      <c r="K158" s="234">
        <f>K155*75%</f>
        <v>0</v>
      </c>
      <c r="L158" s="234">
        <f>L155*75%</f>
        <v>0</v>
      </c>
      <c r="M158" s="979"/>
      <c r="N158" s="708">
        <v>0</v>
      </c>
    </row>
    <row r="159" spans="1:14" s="1001" customFormat="1" ht="13.5" customHeight="1" hidden="1">
      <c r="A159" s="1204">
        <v>39</v>
      </c>
      <c r="B159" s="1207">
        <v>926</v>
      </c>
      <c r="C159" s="1207">
        <v>92695</v>
      </c>
      <c r="D159" s="1194"/>
      <c r="E159" s="1189" t="s">
        <v>724</v>
      </c>
      <c r="F159" s="1189" t="s">
        <v>725</v>
      </c>
      <c r="G159" s="1194"/>
      <c r="H159" s="1197"/>
      <c r="I159" s="1007" t="s">
        <v>166</v>
      </c>
      <c r="J159" s="1000">
        <f>J160+J161+J162</f>
        <v>0</v>
      </c>
      <c r="K159" s="697"/>
      <c r="L159" s="697">
        <f>L160+L161+L162</f>
        <v>0</v>
      </c>
      <c r="M159" s="1093"/>
      <c r="N159" s="1009">
        <f>N160+N161+N162</f>
        <v>0</v>
      </c>
    </row>
    <row r="160" spans="1:14" s="1001" customFormat="1" ht="13.5" customHeight="1" hidden="1">
      <c r="A160" s="1205"/>
      <c r="B160" s="1208"/>
      <c r="C160" s="1208"/>
      <c r="D160" s="1192"/>
      <c r="E160" s="1190"/>
      <c r="F160" s="1192"/>
      <c r="G160" s="1195"/>
      <c r="H160" s="1198"/>
      <c r="I160" s="1002" t="s">
        <v>150</v>
      </c>
      <c r="J160" s="1003">
        <v>0</v>
      </c>
      <c r="K160" s="233">
        <f>K159*25%</f>
        <v>0</v>
      </c>
      <c r="L160" s="233">
        <v>0</v>
      </c>
      <c r="M160" s="978"/>
      <c r="N160" s="707">
        <v>0</v>
      </c>
    </row>
    <row r="161" spans="1:14" s="1001" customFormat="1" ht="26.25" customHeight="1" hidden="1">
      <c r="A161" s="1205"/>
      <c r="B161" s="1208"/>
      <c r="C161" s="1208"/>
      <c r="D161" s="1192"/>
      <c r="E161" s="1190"/>
      <c r="F161" s="1192"/>
      <c r="G161" s="1195"/>
      <c r="H161" s="1198"/>
      <c r="I161" s="1004" t="s">
        <v>167</v>
      </c>
      <c r="J161" s="1003">
        <v>0</v>
      </c>
      <c r="K161" s="233">
        <v>0</v>
      </c>
      <c r="L161" s="233">
        <v>0</v>
      </c>
      <c r="M161" s="978"/>
      <c r="N161" s="707">
        <v>0</v>
      </c>
    </row>
    <row r="162" spans="1:14" s="1001" customFormat="1" ht="13.5" customHeight="1" hidden="1" thickBot="1">
      <c r="A162" s="1206"/>
      <c r="B162" s="1209"/>
      <c r="C162" s="1209"/>
      <c r="D162" s="1201"/>
      <c r="E162" s="1200"/>
      <c r="F162" s="1201"/>
      <c r="G162" s="1202"/>
      <c r="H162" s="1203"/>
      <c r="I162" s="1011" t="s">
        <v>151</v>
      </c>
      <c r="J162" s="1012">
        <v>0</v>
      </c>
      <c r="K162" s="1096">
        <f>K159*75%</f>
        <v>0</v>
      </c>
      <c r="L162" s="1096">
        <v>0</v>
      </c>
      <c r="M162" s="1097"/>
      <c r="N162" s="1098">
        <v>0</v>
      </c>
    </row>
    <row r="163" spans="1:14" ht="12.75" customHeight="1">
      <c r="A163" s="1277" t="s">
        <v>685</v>
      </c>
      <c r="B163" s="1278"/>
      <c r="C163" s="1278"/>
      <c r="D163" s="1278"/>
      <c r="E163" s="1278"/>
      <c r="F163" s="1278"/>
      <c r="G163" s="1279"/>
      <c r="H163" s="1274">
        <f>SUM(H7:H162)</f>
        <v>14867075</v>
      </c>
      <c r="I163" s="1025" t="s">
        <v>166</v>
      </c>
      <c r="J163" s="1021">
        <f>J7+J11+J15+J19+J23+J27+J31+J35+J39+J43+J47+J51+J55+J59+J63+J67+J71+J75+J79+J83+J87+J91+J95+J99+J103+J107+J111+J115+J119+J123+J127+J131+J135+J139+J143+J147+J151+J155+J159</f>
        <v>771650</v>
      </c>
      <c r="K163" s="1099">
        <f>K7+K11+K15+K19+K23+K27+K31+K35+K39+K43+K47+K51+K55+K59+K63+K67+K71+K75+K79+K83+K87+K91+K95+K99+K103+K107+K111+K115+K119+K123+K127+K131+K135+K139+K143+K147+K151+K155+K159</f>
        <v>3940725</v>
      </c>
      <c r="L163" s="1099">
        <f>L7+L11+L15+L19+L23+L27+L31+L35+L39+L43+L47+L51+L55+L59+L63+L67+L71+L75+L79+L83+L87+L91+L95+L99+L103+L107+L111+L115+L119+L123+L127+L131+L135+L139+L143+L147+L151+L155+L159</f>
        <v>5924700</v>
      </c>
      <c r="M163" s="1099">
        <f>M7+M11+M15+M19+M23+M27+M31+M35+M39+M43+M47+M51+M55+M59+M63+M67+M71+M75+M79+M83+M87+M91+M95+M99+M103+M107+M111+M115+M119+M123+M127+M131+M135+M139+M143+M147+M151+M155+M159</f>
        <v>2600000</v>
      </c>
      <c r="N163" s="1100">
        <f>N7+N11+N15+N19+N23+N27+N31+N35+N39+N43+N47+N51+N55+N59+N63+N67+N71+N75+N79+N83+N87+N91+N95+N99+N103+N107+N111+N115+N119+N123+N127+N131+N135+N139+N143+N147+N151+N155+N159</f>
        <v>1630000</v>
      </c>
    </row>
    <row r="164" spans="1:14" ht="12.75" customHeight="1">
      <c r="A164" s="1280"/>
      <c r="B164" s="1281"/>
      <c r="C164" s="1281"/>
      <c r="D164" s="1281"/>
      <c r="E164" s="1281"/>
      <c r="F164" s="1281"/>
      <c r="G164" s="1282"/>
      <c r="H164" s="1275"/>
      <c r="I164" s="1026" t="s">
        <v>150</v>
      </c>
      <c r="J164" s="988">
        <f aca="true" t="shared" si="0" ref="J164:N166">J8+J12+J16+J20+J24+J28+J32+J36+J40+J44+J48+J52+J56+J60+J64+J68+J72+J76+J80+J84+J88+J92+J96+J100+J104+J108+J112+J116+J120+J124+J128+J132+J136+J140+J144+J148+J152+J156+J160</f>
        <v>473320</v>
      </c>
      <c r="K164" s="697">
        <f t="shared" si="0"/>
        <v>1038457</v>
      </c>
      <c r="L164" s="697">
        <f t="shared" si="0"/>
        <v>1882800</v>
      </c>
      <c r="M164" s="697">
        <f t="shared" si="0"/>
        <v>926650</v>
      </c>
      <c r="N164" s="1009">
        <f t="shared" si="0"/>
        <v>1307500</v>
      </c>
    </row>
    <row r="165" spans="1:14" ht="38.25">
      <c r="A165" s="1280"/>
      <c r="B165" s="1281"/>
      <c r="C165" s="1281"/>
      <c r="D165" s="1281"/>
      <c r="E165" s="1281"/>
      <c r="F165" s="1281"/>
      <c r="G165" s="1282"/>
      <c r="H165" s="1275"/>
      <c r="I165" s="1027" t="s">
        <v>167</v>
      </c>
      <c r="J165" s="988">
        <f t="shared" si="0"/>
        <v>200000</v>
      </c>
      <c r="K165" s="697">
        <f t="shared" si="0"/>
        <v>2363068</v>
      </c>
      <c r="L165" s="697">
        <f t="shared" si="0"/>
        <v>784550</v>
      </c>
      <c r="M165" s="697">
        <f t="shared" si="0"/>
        <v>132600</v>
      </c>
      <c r="N165" s="1009">
        <f t="shared" si="0"/>
        <v>0</v>
      </c>
    </row>
    <row r="166" spans="1:14" ht="12.75" customHeight="1" thickBot="1">
      <c r="A166" s="1283"/>
      <c r="B166" s="1284"/>
      <c r="C166" s="1284"/>
      <c r="D166" s="1284"/>
      <c r="E166" s="1284"/>
      <c r="F166" s="1284"/>
      <c r="G166" s="1285"/>
      <c r="H166" s="1276"/>
      <c r="I166" s="1028" t="s">
        <v>151</v>
      </c>
      <c r="J166" s="1022">
        <f t="shared" si="0"/>
        <v>98330</v>
      </c>
      <c r="K166" s="1023">
        <f t="shared" si="0"/>
        <v>539200</v>
      </c>
      <c r="L166" s="1023">
        <f t="shared" si="0"/>
        <v>3257350</v>
      </c>
      <c r="M166" s="1023">
        <f t="shared" si="0"/>
        <v>1540750</v>
      </c>
      <c r="N166" s="1024">
        <f t="shared" si="0"/>
        <v>322500</v>
      </c>
    </row>
  </sheetData>
  <mergeCells count="326">
    <mergeCell ref="I4:I5"/>
    <mergeCell ref="B4:B5"/>
    <mergeCell ref="A4:A5"/>
    <mergeCell ref="L1:M1"/>
    <mergeCell ref="A2:J2"/>
    <mergeCell ref="E4:E5"/>
    <mergeCell ref="K4:N4"/>
    <mergeCell ref="H163:H166"/>
    <mergeCell ref="A163:G166"/>
    <mergeCell ref="G4:G5"/>
    <mergeCell ref="C4:C5"/>
    <mergeCell ref="D4:D5"/>
    <mergeCell ref="H4:H5"/>
    <mergeCell ref="F4:F5"/>
    <mergeCell ref="E135:E138"/>
    <mergeCell ref="F135:F138"/>
    <mergeCell ref="E7:E10"/>
    <mergeCell ref="F7:F10"/>
    <mergeCell ref="E15:E18"/>
    <mergeCell ref="F15:F18"/>
    <mergeCell ref="E23:E26"/>
    <mergeCell ref="F23:F26"/>
    <mergeCell ref="G135:G138"/>
    <mergeCell ref="H135:H138"/>
    <mergeCell ref="A135:A138"/>
    <mergeCell ref="B135:B138"/>
    <mergeCell ref="C135:C138"/>
    <mergeCell ref="D135:D138"/>
    <mergeCell ref="A75:A78"/>
    <mergeCell ref="B75:B78"/>
    <mergeCell ref="C75:C78"/>
    <mergeCell ref="D75:D78"/>
    <mergeCell ref="E75:E78"/>
    <mergeCell ref="F75:F78"/>
    <mergeCell ref="G75:G78"/>
    <mergeCell ref="H75:H78"/>
    <mergeCell ref="A7:A10"/>
    <mergeCell ref="B7:B10"/>
    <mergeCell ref="C7:C10"/>
    <mergeCell ref="D7:D10"/>
    <mergeCell ref="G7:G10"/>
    <mergeCell ref="H7:H10"/>
    <mergeCell ref="A11:A14"/>
    <mergeCell ref="B11:B14"/>
    <mergeCell ref="C11:C14"/>
    <mergeCell ref="D11:D14"/>
    <mergeCell ref="E11:E14"/>
    <mergeCell ref="F11:F14"/>
    <mergeCell ref="G11:G14"/>
    <mergeCell ref="H11:H14"/>
    <mergeCell ref="A15:A18"/>
    <mergeCell ref="B15:B18"/>
    <mergeCell ref="C15:C18"/>
    <mergeCell ref="D15:D18"/>
    <mergeCell ref="G15:G18"/>
    <mergeCell ref="H15:H18"/>
    <mergeCell ref="A19:A22"/>
    <mergeCell ref="B19:B22"/>
    <mergeCell ref="C19:C22"/>
    <mergeCell ref="D19:D22"/>
    <mergeCell ref="E19:E22"/>
    <mergeCell ref="F19:F22"/>
    <mergeCell ref="G19:G22"/>
    <mergeCell ref="H19:H22"/>
    <mergeCell ref="A23:A26"/>
    <mergeCell ref="B23:B26"/>
    <mergeCell ref="C23:C26"/>
    <mergeCell ref="D23:D26"/>
    <mergeCell ref="G23:G26"/>
    <mergeCell ref="H23:H26"/>
    <mergeCell ref="A27:A30"/>
    <mergeCell ref="B27:B30"/>
    <mergeCell ref="C27:C30"/>
    <mergeCell ref="D27:D30"/>
    <mergeCell ref="E27:E30"/>
    <mergeCell ref="F27:F30"/>
    <mergeCell ref="G27:G30"/>
    <mergeCell ref="H27:H30"/>
    <mergeCell ref="A31:A34"/>
    <mergeCell ref="B31:B34"/>
    <mergeCell ref="C31:C34"/>
    <mergeCell ref="D31:D34"/>
    <mergeCell ref="E31:E34"/>
    <mergeCell ref="F31:F34"/>
    <mergeCell ref="G31:G34"/>
    <mergeCell ref="H31:H34"/>
    <mergeCell ref="A35:A38"/>
    <mergeCell ref="B35:B38"/>
    <mergeCell ref="C35:C38"/>
    <mergeCell ref="D35:D38"/>
    <mergeCell ref="E35:E38"/>
    <mergeCell ref="F35:F38"/>
    <mergeCell ref="G35:G38"/>
    <mergeCell ref="H35:H38"/>
    <mergeCell ref="A39:A42"/>
    <mergeCell ref="B39:B42"/>
    <mergeCell ref="C39:C42"/>
    <mergeCell ref="D39:D42"/>
    <mergeCell ref="E39:E42"/>
    <mergeCell ref="F39:F42"/>
    <mergeCell ref="G39:G42"/>
    <mergeCell ref="H39:H42"/>
    <mergeCell ref="A43:A46"/>
    <mergeCell ref="B43:B46"/>
    <mergeCell ref="C43:C46"/>
    <mergeCell ref="D43:D46"/>
    <mergeCell ref="E43:E46"/>
    <mergeCell ref="F43:F46"/>
    <mergeCell ref="G43:G46"/>
    <mergeCell ref="H43:H46"/>
    <mergeCell ref="A47:A50"/>
    <mergeCell ref="B47:B50"/>
    <mergeCell ref="C47:C50"/>
    <mergeCell ref="D47:D50"/>
    <mergeCell ref="E47:E50"/>
    <mergeCell ref="F47:F50"/>
    <mergeCell ref="G47:G50"/>
    <mergeCell ref="H47:H50"/>
    <mergeCell ref="A51:A54"/>
    <mergeCell ref="B51:B54"/>
    <mergeCell ref="C51:C54"/>
    <mergeCell ref="D51:D54"/>
    <mergeCell ref="E51:E54"/>
    <mergeCell ref="F51:F54"/>
    <mergeCell ref="G51:G54"/>
    <mergeCell ref="H51:H54"/>
    <mergeCell ref="A55:A58"/>
    <mergeCell ref="B55:B58"/>
    <mergeCell ref="C55:C58"/>
    <mergeCell ref="D55:D58"/>
    <mergeCell ref="E55:E58"/>
    <mergeCell ref="F55:F58"/>
    <mergeCell ref="G55:G58"/>
    <mergeCell ref="H55:H58"/>
    <mergeCell ref="A59:A62"/>
    <mergeCell ref="B59:B62"/>
    <mergeCell ref="C59:C62"/>
    <mergeCell ref="D59:D62"/>
    <mergeCell ref="E59:E62"/>
    <mergeCell ref="F59:F62"/>
    <mergeCell ref="G59:G62"/>
    <mergeCell ref="H59:H62"/>
    <mergeCell ref="A63:A66"/>
    <mergeCell ref="B63:B66"/>
    <mergeCell ref="C63:C66"/>
    <mergeCell ref="D63:D66"/>
    <mergeCell ref="E63:E66"/>
    <mergeCell ref="F63:F66"/>
    <mergeCell ref="G63:G66"/>
    <mergeCell ref="H63:H66"/>
    <mergeCell ref="A67:A70"/>
    <mergeCell ref="B67:B70"/>
    <mergeCell ref="C67:C70"/>
    <mergeCell ref="D67:D70"/>
    <mergeCell ref="E67:E70"/>
    <mergeCell ref="F67:F70"/>
    <mergeCell ref="G67:G70"/>
    <mergeCell ref="H67:H70"/>
    <mergeCell ref="A71:A74"/>
    <mergeCell ref="B71:B74"/>
    <mergeCell ref="C71:C74"/>
    <mergeCell ref="D71:D74"/>
    <mergeCell ref="E71:E74"/>
    <mergeCell ref="F71:F74"/>
    <mergeCell ref="G71:G74"/>
    <mergeCell ref="H71:H74"/>
    <mergeCell ref="A79:A82"/>
    <mergeCell ref="B79:B82"/>
    <mergeCell ref="C79:C82"/>
    <mergeCell ref="D79:D82"/>
    <mergeCell ref="E79:E82"/>
    <mergeCell ref="F79:F82"/>
    <mergeCell ref="G79:G82"/>
    <mergeCell ref="H79:H82"/>
    <mergeCell ref="A83:A86"/>
    <mergeCell ref="B83:B86"/>
    <mergeCell ref="C83:C86"/>
    <mergeCell ref="D83:D86"/>
    <mergeCell ref="E83:E86"/>
    <mergeCell ref="F83:F86"/>
    <mergeCell ref="G83:G86"/>
    <mergeCell ref="H83:H86"/>
    <mergeCell ref="A87:A90"/>
    <mergeCell ref="B87:B90"/>
    <mergeCell ref="C87:C90"/>
    <mergeCell ref="D87:D90"/>
    <mergeCell ref="E87:E90"/>
    <mergeCell ref="F87:F90"/>
    <mergeCell ref="G87:G90"/>
    <mergeCell ref="H87:H90"/>
    <mergeCell ref="A91:A94"/>
    <mergeCell ref="B91:B94"/>
    <mergeCell ref="C91:C94"/>
    <mergeCell ref="D91:D94"/>
    <mergeCell ref="E91:E94"/>
    <mergeCell ref="F91:F94"/>
    <mergeCell ref="G91:G94"/>
    <mergeCell ref="H91:H94"/>
    <mergeCell ref="A95:A98"/>
    <mergeCell ref="B95:B98"/>
    <mergeCell ref="C95:C98"/>
    <mergeCell ref="D95:D98"/>
    <mergeCell ref="E95:E98"/>
    <mergeCell ref="F95:F98"/>
    <mergeCell ref="G95:G98"/>
    <mergeCell ref="H95:H98"/>
    <mergeCell ref="A99:A102"/>
    <mergeCell ref="B99:B102"/>
    <mergeCell ref="C99:C102"/>
    <mergeCell ref="D99:D102"/>
    <mergeCell ref="E99:E102"/>
    <mergeCell ref="F99:F102"/>
    <mergeCell ref="G99:G102"/>
    <mergeCell ref="H99:H102"/>
    <mergeCell ref="A103:A106"/>
    <mergeCell ref="B103:B106"/>
    <mergeCell ref="C103:C106"/>
    <mergeCell ref="D103:D106"/>
    <mergeCell ref="E103:E106"/>
    <mergeCell ref="F103:F106"/>
    <mergeCell ref="G103:G106"/>
    <mergeCell ref="H103:H106"/>
    <mergeCell ref="A107:A110"/>
    <mergeCell ref="B107:B110"/>
    <mergeCell ref="C107:C110"/>
    <mergeCell ref="D107:D110"/>
    <mergeCell ref="E107:E110"/>
    <mergeCell ref="F107:F110"/>
    <mergeCell ref="G107:G110"/>
    <mergeCell ref="H107:H110"/>
    <mergeCell ref="A111:A114"/>
    <mergeCell ref="B111:B114"/>
    <mergeCell ref="C111:C114"/>
    <mergeCell ref="D111:D114"/>
    <mergeCell ref="E111:E114"/>
    <mergeCell ref="F111:F114"/>
    <mergeCell ref="G111:G114"/>
    <mergeCell ref="H111:H114"/>
    <mergeCell ref="A115:A118"/>
    <mergeCell ref="B115:B118"/>
    <mergeCell ref="C115:C118"/>
    <mergeCell ref="D115:D118"/>
    <mergeCell ref="E115:E118"/>
    <mergeCell ref="F115:F118"/>
    <mergeCell ref="G115:G118"/>
    <mergeCell ref="H115:H118"/>
    <mergeCell ref="A119:A122"/>
    <mergeCell ref="B119:B122"/>
    <mergeCell ref="C119:C122"/>
    <mergeCell ref="D119:D122"/>
    <mergeCell ref="E119:E122"/>
    <mergeCell ref="F119:F122"/>
    <mergeCell ref="G119:G122"/>
    <mergeCell ref="H119:H122"/>
    <mergeCell ref="A123:A126"/>
    <mergeCell ref="B123:B126"/>
    <mergeCell ref="C123:C126"/>
    <mergeCell ref="D123:D126"/>
    <mergeCell ref="E123:E126"/>
    <mergeCell ref="F123:F126"/>
    <mergeCell ref="G123:G126"/>
    <mergeCell ref="H123:H126"/>
    <mergeCell ref="A127:A130"/>
    <mergeCell ref="B127:B130"/>
    <mergeCell ref="C127:C130"/>
    <mergeCell ref="D127:D130"/>
    <mergeCell ref="E127:E130"/>
    <mergeCell ref="F127:F130"/>
    <mergeCell ref="G127:G130"/>
    <mergeCell ref="H127:H130"/>
    <mergeCell ref="A131:A134"/>
    <mergeCell ref="B131:B134"/>
    <mergeCell ref="C131:C134"/>
    <mergeCell ref="D131:D134"/>
    <mergeCell ref="E131:E134"/>
    <mergeCell ref="F131:F134"/>
    <mergeCell ref="G131:G134"/>
    <mergeCell ref="H131:H134"/>
    <mergeCell ref="A139:A142"/>
    <mergeCell ref="B139:B142"/>
    <mergeCell ref="C139:C142"/>
    <mergeCell ref="D139:D142"/>
    <mergeCell ref="E139:E142"/>
    <mergeCell ref="F139:F142"/>
    <mergeCell ref="G139:G142"/>
    <mergeCell ref="H139:H142"/>
    <mergeCell ref="A143:A146"/>
    <mergeCell ref="B143:B146"/>
    <mergeCell ref="C143:C146"/>
    <mergeCell ref="D143:D146"/>
    <mergeCell ref="E143:E146"/>
    <mergeCell ref="F143:F146"/>
    <mergeCell ref="G143:G146"/>
    <mergeCell ref="H143:H146"/>
    <mergeCell ref="A147:A150"/>
    <mergeCell ref="B147:B150"/>
    <mergeCell ref="C147:C150"/>
    <mergeCell ref="D147:D150"/>
    <mergeCell ref="E147:E150"/>
    <mergeCell ref="F147:F150"/>
    <mergeCell ref="G147:G150"/>
    <mergeCell ref="H147:H150"/>
    <mergeCell ref="F151:F154"/>
    <mergeCell ref="G151:G154"/>
    <mergeCell ref="H151:H154"/>
    <mergeCell ref="A151:A154"/>
    <mergeCell ref="B151:B154"/>
    <mergeCell ref="C151:C154"/>
    <mergeCell ref="D151:D154"/>
    <mergeCell ref="E151:E154"/>
    <mergeCell ref="A155:A158"/>
    <mergeCell ref="B155:B158"/>
    <mergeCell ref="C155:C158"/>
    <mergeCell ref="D155:D158"/>
    <mergeCell ref="A159:A162"/>
    <mergeCell ref="B159:B162"/>
    <mergeCell ref="C159:C162"/>
    <mergeCell ref="D159:D162"/>
    <mergeCell ref="E159:E162"/>
    <mergeCell ref="F159:F162"/>
    <mergeCell ref="G159:G162"/>
    <mergeCell ref="H159:H162"/>
    <mergeCell ref="E155:E158"/>
    <mergeCell ref="F155:F158"/>
    <mergeCell ref="G155:G158"/>
    <mergeCell ref="H155:H158"/>
  </mergeCells>
  <printOptions horizontalCentered="1"/>
  <pageMargins left="0" right="0" top="0.24" bottom="0.38" header="0.26" footer="0.17"/>
  <pageSetup fitToHeight="4" horizontalDpi="600" verticalDpi="600" orientation="landscape" paperSize="9" scale="91" r:id="rId1"/>
  <headerFooter alignWithMargins="0">
    <oddFooter>&amp;CStrona &amp;P z &amp;N</oddFooter>
  </headerFooter>
  <rowBreaks count="3" manualBreakCount="3">
    <brk id="50" max="13" man="1"/>
    <brk id="98" max="13" man="1"/>
    <brk id="134" max="1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7">
    <tabColor indexed="42"/>
    <pageSetUpPr fitToPage="1"/>
  </sheetPr>
  <dimension ref="A1:N77"/>
  <sheetViews>
    <sheetView showGridLines="0" view="pageBreakPreview" zoomScale="85" zoomScaleSheetLayoutView="85" workbookViewId="0" topLeftCell="A1">
      <selection activeCell="A4" sqref="A4:A5"/>
    </sheetView>
  </sheetViews>
  <sheetFormatPr defaultColWidth="9.00390625" defaultRowHeight="12.75"/>
  <cols>
    <col min="1" max="1" width="4.25390625" style="0" customWidth="1"/>
    <col min="2" max="2" width="4.75390625" style="0" customWidth="1"/>
    <col min="3" max="3" width="8.25390625" style="0" customWidth="1"/>
    <col min="4" max="4" width="5.00390625" style="0" customWidth="1"/>
    <col min="5" max="5" width="24.00390625" style="235" customWidth="1"/>
    <col min="6" max="6" width="26.875" style="0" customWidth="1"/>
    <col min="7" max="7" width="12.125" style="237" customWidth="1"/>
    <col min="8" max="8" width="13.625" style="239" customWidth="1"/>
    <col min="9" max="9" width="14.75390625" style="239" customWidth="1"/>
    <col min="10" max="10" width="15.875" style="205" customWidth="1"/>
    <col min="11" max="11" width="10.125" style="911" customWidth="1"/>
    <col min="12" max="13" width="9.875" style="911" customWidth="1"/>
    <col min="14" max="14" width="10.00390625" style="911" customWidth="1"/>
  </cols>
  <sheetData>
    <row r="1" spans="7:14" ht="52.5" customHeight="1">
      <c r="G1" s="236"/>
      <c r="H1" s="238"/>
      <c r="I1" s="238"/>
      <c r="K1" s="1108"/>
      <c r="L1" s="1383" t="s">
        <v>859</v>
      </c>
      <c r="M1" s="1383"/>
      <c r="N1" s="1383"/>
    </row>
    <row r="2" spans="1:14" ht="43.5" customHeight="1">
      <c r="A2" s="1296" t="s">
        <v>907</v>
      </c>
      <c r="B2" s="1296"/>
      <c r="C2" s="1296"/>
      <c r="D2" s="1296"/>
      <c r="E2" s="1296"/>
      <c r="F2" s="1296"/>
      <c r="G2" s="1296"/>
      <c r="H2" s="1296"/>
      <c r="I2" s="1296"/>
      <c r="J2" s="1296"/>
      <c r="K2" s="1296"/>
      <c r="L2" s="1296"/>
      <c r="M2" s="1296"/>
      <c r="N2" s="1108"/>
    </row>
    <row r="3" spans="1:14" ht="14.25" customHeight="1" thickBot="1">
      <c r="A3" s="1297"/>
      <c r="B3" s="1297"/>
      <c r="C3" s="1297"/>
      <c r="D3" s="1297"/>
      <c r="E3" s="1297"/>
      <c r="F3" s="1297"/>
      <c r="G3" s="1297"/>
      <c r="H3" s="1297"/>
      <c r="I3" s="1297"/>
      <c r="K3" s="1108"/>
      <c r="L3" s="1108"/>
      <c r="M3" s="1108"/>
      <c r="N3" s="1109" t="s">
        <v>92</v>
      </c>
    </row>
    <row r="4" spans="1:14" s="205" customFormat="1" ht="36" customHeight="1">
      <c r="A4" s="1397" t="s">
        <v>112</v>
      </c>
      <c r="B4" s="1399" t="s">
        <v>52</v>
      </c>
      <c r="C4" s="1399" t="s">
        <v>91</v>
      </c>
      <c r="D4" s="1399" t="s">
        <v>54</v>
      </c>
      <c r="E4" s="1386" t="s">
        <v>152</v>
      </c>
      <c r="F4" s="1395" t="s">
        <v>145</v>
      </c>
      <c r="G4" s="1386" t="s">
        <v>146</v>
      </c>
      <c r="H4" s="1384" t="s">
        <v>158</v>
      </c>
      <c r="I4" s="1384" t="s">
        <v>159</v>
      </c>
      <c r="J4" s="1386" t="s">
        <v>147</v>
      </c>
      <c r="K4" s="1388" t="s">
        <v>148</v>
      </c>
      <c r="L4" s="1389"/>
      <c r="M4" s="1389"/>
      <c r="N4" s="1390"/>
    </row>
    <row r="5" spans="1:14" s="205" customFormat="1" ht="27.75" customHeight="1" thickBot="1">
      <c r="A5" s="1398"/>
      <c r="B5" s="1400"/>
      <c r="C5" s="1400"/>
      <c r="D5" s="1400"/>
      <c r="E5" s="1387"/>
      <c r="F5" s="1396"/>
      <c r="G5" s="1387"/>
      <c r="H5" s="1385"/>
      <c r="I5" s="1385"/>
      <c r="J5" s="1387"/>
      <c r="K5" s="685" t="s">
        <v>368</v>
      </c>
      <c r="L5" s="685" t="s">
        <v>209</v>
      </c>
      <c r="M5" s="685" t="s">
        <v>369</v>
      </c>
      <c r="N5" s="686" t="s">
        <v>370</v>
      </c>
    </row>
    <row r="6" spans="1:14" s="205" customFormat="1" ht="12.75">
      <c r="A6" s="1370">
        <v>1</v>
      </c>
      <c r="B6" s="1371" t="s">
        <v>327</v>
      </c>
      <c r="C6" s="1371" t="s">
        <v>380</v>
      </c>
      <c r="D6" s="1366" t="s">
        <v>367</v>
      </c>
      <c r="E6" s="1391" t="s">
        <v>728</v>
      </c>
      <c r="F6" s="1227" t="s">
        <v>674</v>
      </c>
      <c r="G6" s="1356" t="s">
        <v>566</v>
      </c>
      <c r="H6" s="1357">
        <v>435000</v>
      </c>
      <c r="I6" s="1357">
        <v>425000</v>
      </c>
      <c r="J6" s="680" t="s">
        <v>166</v>
      </c>
      <c r="K6" s="1110">
        <v>66000</v>
      </c>
      <c r="L6" s="1110">
        <v>250000</v>
      </c>
      <c r="M6" s="1110">
        <v>119000</v>
      </c>
      <c r="N6" s="1111"/>
    </row>
    <row r="7" spans="1:14" s="205" customFormat="1" ht="12.75">
      <c r="A7" s="1307"/>
      <c r="B7" s="1372"/>
      <c r="C7" s="1372"/>
      <c r="D7" s="1310"/>
      <c r="E7" s="1314"/>
      <c r="F7" s="1227"/>
      <c r="G7" s="1317"/>
      <c r="H7" s="1320"/>
      <c r="I7" s="1320"/>
      <c r="J7" s="678" t="s">
        <v>149</v>
      </c>
      <c r="K7" s="658"/>
      <c r="L7" s="658">
        <f>L6*75%</f>
        <v>187500</v>
      </c>
      <c r="M7" s="658">
        <f>M6*75%</f>
        <v>89250</v>
      </c>
      <c r="N7" s="687"/>
    </row>
    <row r="8" spans="1:14" s="205" customFormat="1" ht="12.75">
      <c r="A8" s="1307"/>
      <c r="B8" s="1372"/>
      <c r="C8" s="1372"/>
      <c r="D8" s="1310"/>
      <c r="E8" s="1314"/>
      <c r="F8" s="1227"/>
      <c r="G8" s="1317"/>
      <c r="H8" s="1320"/>
      <c r="I8" s="1320"/>
      <c r="J8" s="678" t="s">
        <v>150</v>
      </c>
      <c r="K8" s="658">
        <v>21000</v>
      </c>
      <c r="L8" s="658">
        <f>L6*25%</f>
        <v>62500</v>
      </c>
      <c r="M8" s="658">
        <f>M6*25%</f>
        <v>29750</v>
      </c>
      <c r="N8" s="687"/>
    </row>
    <row r="9" spans="1:14" s="205" customFormat="1" ht="12.75">
      <c r="A9" s="1334"/>
      <c r="B9" s="1373"/>
      <c r="C9" s="1373"/>
      <c r="D9" s="1311"/>
      <c r="E9" s="1315"/>
      <c r="F9" s="1228"/>
      <c r="G9" s="1318"/>
      <c r="H9" s="1321"/>
      <c r="I9" s="1321"/>
      <c r="J9" s="679" t="s">
        <v>151</v>
      </c>
      <c r="K9" s="660">
        <v>45000</v>
      </c>
      <c r="L9" s="660"/>
      <c r="M9" s="660"/>
      <c r="N9" s="688"/>
    </row>
    <row r="10" spans="1:14" s="205" customFormat="1" ht="18" customHeight="1">
      <c r="A10" s="1363">
        <v>2</v>
      </c>
      <c r="B10" s="1331">
        <v>630</v>
      </c>
      <c r="C10" s="1331">
        <v>63095</v>
      </c>
      <c r="D10" s="1366" t="s">
        <v>367</v>
      </c>
      <c r="E10" s="1367" t="s">
        <v>733</v>
      </c>
      <c r="F10" s="1229" t="s">
        <v>852</v>
      </c>
      <c r="G10" s="1316" t="s">
        <v>97</v>
      </c>
      <c r="H10" s="1319">
        <v>2348000</v>
      </c>
      <c r="I10" s="1319">
        <v>2348000</v>
      </c>
      <c r="J10" s="677" t="s">
        <v>166</v>
      </c>
      <c r="K10" s="1112">
        <v>1214000</v>
      </c>
      <c r="L10" s="1112">
        <v>923000</v>
      </c>
      <c r="M10" s="1112">
        <v>156000</v>
      </c>
      <c r="N10" s="1113"/>
    </row>
    <row r="11" spans="1:14" s="205" customFormat="1" ht="18" customHeight="1">
      <c r="A11" s="1364"/>
      <c r="B11" s="1332"/>
      <c r="C11" s="1332"/>
      <c r="D11" s="1310"/>
      <c r="E11" s="1368"/>
      <c r="F11" s="1230"/>
      <c r="G11" s="1317"/>
      <c r="H11" s="1320"/>
      <c r="I11" s="1320"/>
      <c r="J11" s="678" t="s">
        <v>149</v>
      </c>
      <c r="K11" s="658"/>
      <c r="L11" s="658"/>
      <c r="M11" s="658"/>
      <c r="N11" s="687"/>
    </row>
    <row r="12" spans="1:14" s="205" customFormat="1" ht="18" customHeight="1">
      <c r="A12" s="1364"/>
      <c r="B12" s="1332"/>
      <c r="C12" s="1332"/>
      <c r="D12" s="1310"/>
      <c r="E12" s="1368"/>
      <c r="F12" s="1230"/>
      <c r="G12" s="1317"/>
      <c r="H12" s="1320"/>
      <c r="I12" s="1320"/>
      <c r="J12" s="678" t="s">
        <v>150</v>
      </c>
      <c r="K12" s="658">
        <f>K10*15%</f>
        <v>182100</v>
      </c>
      <c r="L12" s="658">
        <f>L10*15%</f>
        <v>138450</v>
      </c>
      <c r="M12" s="658">
        <f>M10*15%</f>
        <v>23400</v>
      </c>
      <c r="N12" s="687"/>
    </row>
    <row r="13" spans="1:14" s="205" customFormat="1" ht="18" customHeight="1">
      <c r="A13" s="1365"/>
      <c r="B13" s="1333"/>
      <c r="C13" s="1333"/>
      <c r="D13" s="1311"/>
      <c r="E13" s="1369"/>
      <c r="F13" s="1231"/>
      <c r="G13" s="1318"/>
      <c r="H13" s="1321"/>
      <c r="I13" s="1321"/>
      <c r="J13" s="679" t="s">
        <v>151</v>
      </c>
      <c r="K13" s="660">
        <v>1031900</v>
      </c>
      <c r="L13" s="660">
        <f>L10*85%</f>
        <v>784550</v>
      </c>
      <c r="M13" s="660">
        <f>M10*85%</f>
        <v>132600</v>
      </c>
      <c r="N13" s="688"/>
    </row>
    <row r="14" spans="1:14" s="1029" customFormat="1" ht="12.75" hidden="1">
      <c r="A14" s="1335">
        <v>3</v>
      </c>
      <c r="B14" s="1300">
        <v>630</v>
      </c>
      <c r="C14" s="1300">
        <v>63095</v>
      </c>
      <c r="D14" s="1300"/>
      <c r="E14" s="1313" t="s">
        <v>729</v>
      </c>
      <c r="F14" s="1212" t="s">
        <v>673</v>
      </c>
      <c r="G14" s="1341" t="s">
        <v>671</v>
      </c>
      <c r="H14" s="1344"/>
      <c r="I14" s="1360"/>
      <c r="J14" s="677" t="s">
        <v>166</v>
      </c>
      <c r="K14" s="1112"/>
      <c r="L14" s="1112"/>
      <c r="M14" s="1112"/>
      <c r="N14" s="1113"/>
    </row>
    <row r="15" spans="1:14" s="1029" customFormat="1" ht="12.75" hidden="1">
      <c r="A15" s="1336"/>
      <c r="B15" s="1301"/>
      <c r="C15" s="1301"/>
      <c r="D15" s="1301"/>
      <c r="E15" s="1314"/>
      <c r="F15" s="1227"/>
      <c r="G15" s="1342"/>
      <c r="H15" s="1345"/>
      <c r="I15" s="1361"/>
      <c r="J15" s="678" t="s">
        <v>149</v>
      </c>
      <c r="K15" s="658">
        <f>K14*85%</f>
        <v>0</v>
      </c>
      <c r="L15" s="658">
        <f>L14*85%</f>
        <v>0</v>
      </c>
      <c r="M15" s="658">
        <f>M14*85%</f>
        <v>0</v>
      </c>
      <c r="N15" s="687"/>
    </row>
    <row r="16" spans="1:14" s="1029" customFormat="1" ht="12.75" hidden="1">
      <c r="A16" s="1336"/>
      <c r="B16" s="1301"/>
      <c r="C16" s="1301"/>
      <c r="D16" s="1301"/>
      <c r="E16" s="1314"/>
      <c r="F16" s="1227"/>
      <c r="G16" s="1342"/>
      <c r="H16" s="1345"/>
      <c r="I16" s="1361"/>
      <c r="J16" s="678" t="s">
        <v>150</v>
      </c>
      <c r="K16" s="658">
        <f>K14*15%</f>
        <v>0</v>
      </c>
      <c r="L16" s="658">
        <f>L14*15%</f>
        <v>0</v>
      </c>
      <c r="M16" s="658">
        <f>M14*15%</f>
        <v>0</v>
      </c>
      <c r="N16" s="687"/>
    </row>
    <row r="17" spans="1:14" s="1029" customFormat="1" ht="12.75" hidden="1">
      <c r="A17" s="1337"/>
      <c r="B17" s="1302"/>
      <c r="C17" s="1302"/>
      <c r="D17" s="1302"/>
      <c r="E17" s="1315"/>
      <c r="F17" s="1228"/>
      <c r="G17" s="1343"/>
      <c r="H17" s="1346"/>
      <c r="I17" s="1362"/>
      <c r="J17" s="679" t="s">
        <v>151</v>
      </c>
      <c r="K17" s="660"/>
      <c r="L17" s="660"/>
      <c r="M17" s="660"/>
      <c r="N17" s="688"/>
    </row>
    <row r="18" spans="1:14" s="205" customFormat="1" ht="12.75">
      <c r="A18" s="1306">
        <v>3</v>
      </c>
      <c r="B18" s="1309">
        <v>630</v>
      </c>
      <c r="C18" s="1309">
        <v>63095</v>
      </c>
      <c r="D18" s="1312" t="s">
        <v>364</v>
      </c>
      <c r="E18" s="1313" t="s">
        <v>729</v>
      </c>
      <c r="F18" s="1212" t="s">
        <v>690</v>
      </c>
      <c r="G18" s="1316" t="s">
        <v>569</v>
      </c>
      <c r="H18" s="1319">
        <v>1000000</v>
      </c>
      <c r="I18" s="1319">
        <v>1000000</v>
      </c>
      <c r="J18" s="677" t="s">
        <v>166</v>
      </c>
      <c r="K18" s="1112">
        <v>50000</v>
      </c>
      <c r="L18" s="1112">
        <v>400000</v>
      </c>
      <c r="M18" s="1112">
        <v>550000</v>
      </c>
      <c r="N18" s="1113"/>
    </row>
    <row r="19" spans="1:14" s="205" customFormat="1" ht="12.75">
      <c r="A19" s="1307"/>
      <c r="B19" s="1310"/>
      <c r="C19" s="1310"/>
      <c r="D19" s="1310"/>
      <c r="E19" s="1314"/>
      <c r="F19" s="1227"/>
      <c r="G19" s="1317"/>
      <c r="H19" s="1320"/>
      <c r="I19" s="1320"/>
      <c r="J19" s="678" t="s">
        <v>149</v>
      </c>
      <c r="K19" s="658">
        <v>25000</v>
      </c>
      <c r="L19" s="658">
        <f>L18*50%</f>
        <v>200000</v>
      </c>
      <c r="M19" s="658">
        <f>M18*50%</f>
        <v>275000</v>
      </c>
      <c r="N19" s="687"/>
    </row>
    <row r="20" spans="1:14" s="205" customFormat="1" ht="12.75">
      <c r="A20" s="1307"/>
      <c r="B20" s="1310"/>
      <c r="C20" s="1310"/>
      <c r="D20" s="1310"/>
      <c r="E20" s="1314"/>
      <c r="F20" s="1227"/>
      <c r="G20" s="1317"/>
      <c r="H20" s="1320"/>
      <c r="I20" s="1320"/>
      <c r="J20" s="678" t="s">
        <v>150</v>
      </c>
      <c r="K20" s="658">
        <v>25000</v>
      </c>
      <c r="L20" s="658">
        <f>L18*50%</f>
        <v>200000</v>
      </c>
      <c r="M20" s="658">
        <f>M18*50%</f>
        <v>275000</v>
      </c>
      <c r="N20" s="687"/>
    </row>
    <row r="21" spans="1:14" s="205" customFormat="1" ht="12.75">
      <c r="A21" s="1334"/>
      <c r="B21" s="1311"/>
      <c r="C21" s="1311"/>
      <c r="D21" s="1311"/>
      <c r="E21" s="1315"/>
      <c r="F21" s="1228"/>
      <c r="G21" s="1318"/>
      <c r="H21" s="1321"/>
      <c r="I21" s="1321"/>
      <c r="J21" s="679" t="s">
        <v>151</v>
      </c>
      <c r="K21" s="660"/>
      <c r="L21" s="660"/>
      <c r="M21" s="660"/>
      <c r="N21" s="688"/>
    </row>
    <row r="22" spans="1:14" s="1029" customFormat="1" ht="12.75" hidden="1">
      <c r="A22" s="1335">
        <v>5</v>
      </c>
      <c r="B22" s="1309">
        <v>630</v>
      </c>
      <c r="C22" s="1309">
        <v>63095</v>
      </c>
      <c r="D22" s="1309"/>
      <c r="E22" s="1313" t="s">
        <v>728</v>
      </c>
      <c r="F22" s="1212" t="s">
        <v>693</v>
      </c>
      <c r="G22" s="1316" t="s">
        <v>117</v>
      </c>
      <c r="H22" s="1319"/>
      <c r="I22" s="1303"/>
      <c r="J22" s="677" t="s">
        <v>166</v>
      </c>
      <c r="K22" s="1112"/>
      <c r="L22" s="1112"/>
      <c r="M22" s="1112"/>
      <c r="N22" s="1113"/>
    </row>
    <row r="23" spans="1:14" s="1029" customFormat="1" ht="12.75" hidden="1">
      <c r="A23" s="1336"/>
      <c r="B23" s="1310"/>
      <c r="C23" s="1310"/>
      <c r="D23" s="1310"/>
      <c r="E23" s="1314"/>
      <c r="F23" s="1227"/>
      <c r="G23" s="1317"/>
      <c r="H23" s="1320"/>
      <c r="I23" s="1304"/>
      <c r="J23" s="678" t="s">
        <v>149</v>
      </c>
      <c r="K23" s="658">
        <f>K22*75%</f>
        <v>0</v>
      </c>
      <c r="L23" s="658">
        <f>L22*75%</f>
        <v>0</v>
      </c>
      <c r="M23" s="658"/>
      <c r="N23" s="687"/>
    </row>
    <row r="24" spans="1:14" s="1029" customFormat="1" ht="12.75" hidden="1">
      <c r="A24" s="1336"/>
      <c r="B24" s="1310"/>
      <c r="C24" s="1310"/>
      <c r="D24" s="1310"/>
      <c r="E24" s="1314"/>
      <c r="F24" s="1227"/>
      <c r="G24" s="1317"/>
      <c r="H24" s="1320"/>
      <c r="I24" s="1304"/>
      <c r="J24" s="678" t="s">
        <v>150</v>
      </c>
      <c r="K24" s="658">
        <f>K22*25%</f>
        <v>0</v>
      </c>
      <c r="L24" s="658">
        <f>L22*25%</f>
        <v>0</v>
      </c>
      <c r="M24" s="658"/>
      <c r="N24" s="687"/>
    </row>
    <row r="25" spans="1:14" s="1029" customFormat="1" ht="12.75" hidden="1">
      <c r="A25" s="1359"/>
      <c r="B25" s="1311"/>
      <c r="C25" s="1311"/>
      <c r="D25" s="1311"/>
      <c r="E25" s="1315"/>
      <c r="F25" s="1228"/>
      <c r="G25" s="1318"/>
      <c r="H25" s="1321"/>
      <c r="I25" s="1305"/>
      <c r="J25" s="679" t="s">
        <v>151</v>
      </c>
      <c r="K25" s="660"/>
      <c r="L25" s="660"/>
      <c r="M25" s="660"/>
      <c r="N25" s="688"/>
    </row>
    <row r="26" spans="1:14" s="1029" customFormat="1" ht="12.75" hidden="1">
      <c r="A26" s="1335">
        <v>6</v>
      </c>
      <c r="B26" s="1309">
        <v>630</v>
      </c>
      <c r="C26" s="1309">
        <v>63095</v>
      </c>
      <c r="D26" s="1309"/>
      <c r="E26" s="1313" t="s">
        <v>729</v>
      </c>
      <c r="F26" s="1212" t="s">
        <v>696</v>
      </c>
      <c r="G26" s="1316" t="s">
        <v>734</v>
      </c>
      <c r="H26" s="1319"/>
      <c r="I26" s="1303"/>
      <c r="J26" s="677" t="s">
        <v>166</v>
      </c>
      <c r="K26" s="1112"/>
      <c r="L26" s="1112"/>
      <c r="M26" s="1112"/>
      <c r="N26" s="1113"/>
    </row>
    <row r="27" spans="1:14" s="1029" customFormat="1" ht="12.75" hidden="1">
      <c r="A27" s="1336"/>
      <c r="B27" s="1310"/>
      <c r="C27" s="1310"/>
      <c r="D27" s="1310"/>
      <c r="E27" s="1314"/>
      <c r="F27" s="1227"/>
      <c r="G27" s="1317"/>
      <c r="H27" s="1320"/>
      <c r="I27" s="1304"/>
      <c r="J27" s="678" t="s">
        <v>149</v>
      </c>
      <c r="K27" s="658">
        <f>K26*85%</f>
        <v>0</v>
      </c>
      <c r="L27" s="658">
        <f>L26*85%</f>
        <v>0</v>
      </c>
      <c r="M27" s="658">
        <f>M26*85%</f>
        <v>0</v>
      </c>
      <c r="N27" s="687"/>
    </row>
    <row r="28" spans="1:14" s="1029" customFormat="1" ht="12.75" hidden="1">
      <c r="A28" s="1336"/>
      <c r="B28" s="1310"/>
      <c r="C28" s="1310"/>
      <c r="D28" s="1310"/>
      <c r="E28" s="1314"/>
      <c r="F28" s="1227"/>
      <c r="G28" s="1317"/>
      <c r="H28" s="1320"/>
      <c r="I28" s="1304"/>
      <c r="J28" s="678" t="s">
        <v>150</v>
      </c>
      <c r="K28" s="658">
        <f>K26*15%</f>
        <v>0</v>
      </c>
      <c r="L28" s="658">
        <f>L26*15%</f>
        <v>0</v>
      </c>
      <c r="M28" s="658">
        <f>M26*15%</f>
        <v>0</v>
      </c>
      <c r="N28" s="687"/>
    </row>
    <row r="29" spans="1:14" s="1029" customFormat="1" ht="12.75" hidden="1">
      <c r="A29" s="1359"/>
      <c r="B29" s="1311"/>
      <c r="C29" s="1311"/>
      <c r="D29" s="1311"/>
      <c r="E29" s="1315"/>
      <c r="F29" s="1228"/>
      <c r="G29" s="1318"/>
      <c r="H29" s="1321"/>
      <c r="I29" s="1305"/>
      <c r="J29" s="679" t="s">
        <v>151</v>
      </c>
      <c r="K29" s="660"/>
      <c r="L29" s="660"/>
      <c r="M29" s="660"/>
      <c r="N29" s="688"/>
    </row>
    <row r="30" spans="1:14" s="1029" customFormat="1" ht="12.75" hidden="1">
      <c r="A30" s="1335">
        <v>7</v>
      </c>
      <c r="B30" s="1358">
        <v>630</v>
      </c>
      <c r="C30" s="1358">
        <v>63095</v>
      </c>
      <c r="D30" s="1358"/>
      <c r="E30" s="1313" t="s">
        <v>729</v>
      </c>
      <c r="F30" s="1212" t="s">
        <v>672</v>
      </c>
      <c r="G30" s="1356" t="s">
        <v>671</v>
      </c>
      <c r="H30" s="1357"/>
      <c r="I30" s="1348"/>
      <c r="J30" s="680" t="s">
        <v>166</v>
      </c>
      <c r="K30" s="1110"/>
      <c r="L30" s="1110"/>
      <c r="M30" s="1110"/>
      <c r="N30" s="1111"/>
    </row>
    <row r="31" spans="1:14" s="1029" customFormat="1" ht="12.75" hidden="1">
      <c r="A31" s="1336"/>
      <c r="B31" s="1310"/>
      <c r="C31" s="1310"/>
      <c r="D31" s="1310"/>
      <c r="E31" s="1314"/>
      <c r="F31" s="1227"/>
      <c r="G31" s="1317"/>
      <c r="H31" s="1320"/>
      <c r="I31" s="1304"/>
      <c r="J31" s="678" t="s">
        <v>149</v>
      </c>
      <c r="K31" s="658">
        <f>K30*85%</f>
        <v>0</v>
      </c>
      <c r="L31" s="658">
        <f>L30*85%</f>
        <v>0</v>
      </c>
      <c r="M31" s="658">
        <f>M30*85%</f>
        <v>0</v>
      </c>
      <c r="N31" s="687"/>
    </row>
    <row r="32" spans="1:14" s="1029" customFormat="1" ht="12.75" hidden="1">
      <c r="A32" s="1336"/>
      <c r="B32" s="1310"/>
      <c r="C32" s="1310"/>
      <c r="D32" s="1310"/>
      <c r="E32" s="1314"/>
      <c r="F32" s="1227"/>
      <c r="G32" s="1317"/>
      <c r="H32" s="1320"/>
      <c r="I32" s="1304"/>
      <c r="J32" s="678" t="s">
        <v>150</v>
      </c>
      <c r="K32" s="658">
        <f>K30*15%</f>
        <v>0</v>
      </c>
      <c r="L32" s="658">
        <f>L30*15%</f>
        <v>0</v>
      </c>
      <c r="M32" s="658">
        <f>M30*15%</f>
        <v>0</v>
      </c>
      <c r="N32" s="687"/>
    </row>
    <row r="33" spans="1:14" s="1029" customFormat="1" ht="12.75" hidden="1">
      <c r="A33" s="1337"/>
      <c r="B33" s="1347"/>
      <c r="C33" s="1347"/>
      <c r="D33" s="1347"/>
      <c r="E33" s="1315"/>
      <c r="F33" s="1228"/>
      <c r="G33" s="1354"/>
      <c r="H33" s="1355"/>
      <c r="I33" s="1349"/>
      <c r="J33" s="681" t="s">
        <v>151</v>
      </c>
      <c r="K33" s="660"/>
      <c r="L33" s="660"/>
      <c r="M33" s="660"/>
      <c r="N33" s="689"/>
    </row>
    <row r="34" spans="1:14" s="205" customFormat="1" ht="12.75">
      <c r="A34" s="1306">
        <v>4</v>
      </c>
      <c r="B34" s="1309">
        <v>900</v>
      </c>
      <c r="C34" s="1309">
        <v>90001</v>
      </c>
      <c r="D34" s="1312" t="s">
        <v>364</v>
      </c>
      <c r="E34" s="1313" t="s">
        <v>728</v>
      </c>
      <c r="F34" s="1351" t="s">
        <v>667</v>
      </c>
      <c r="G34" s="1316" t="s">
        <v>358</v>
      </c>
      <c r="H34" s="1319">
        <v>1500000</v>
      </c>
      <c r="I34" s="1319">
        <v>1450000</v>
      </c>
      <c r="J34" s="677" t="s">
        <v>166</v>
      </c>
      <c r="K34" s="1112">
        <v>200000</v>
      </c>
      <c r="L34" s="1112">
        <v>1250000</v>
      </c>
      <c r="M34" s="1112"/>
      <c r="N34" s="1113"/>
    </row>
    <row r="35" spans="1:14" s="205" customFormat="1" ht="12.75">
      <c r="A35" s="1307"/>
      <c r="B35" s="1310"/>
      <c r="C35" s="1310"/>
      <c r="D35" s="1310"/>
      <c r="E35" s="1314"/>
      <c r="F35" s="1352"/>
      <c r="G35" s="1317"/>
      <c r="H35" s="1320"/>
      <c r="I35" s="1320"/>
      <c r="J35" s="678" t="s">
        <v>149</v>
      </c>
      <c r="K35" s="658"/>
      <c r="L35" s="658">
        <f>L34*75%</f>
        <v>937500</v>
      </c>
      <c r="M35" s="658"/>
      <c r="N35" s="687"/>
    </row>
    <row r="36" spans="1:14" s="205" customFormat="1" ht="12.75">
      <c r="A36" s="1307"/>
      <c r="B36" s="1310"/>
      <c r="C36" s="1310"/>
      <c r="D36" s="1310"/>
      <c r="E36" s="1314"/>
      <c r="F36" s="1352"/>
      <c r="G36" s="1317"/>
      <c r="H36" s="1320"/>
      <c r="I36" s="1320"/>
      <c r="J36" s="678" t="s">
        <v>150</v>
      </c>
      <c r="K36" s="658">
        <v>50000</v>
      </c>
      <c r="L36" s="658"/>
      <c r="M36" s="658"/>
      <c r="N36" s="687"/>
    </row>
    <row r="37" spans="1:14" s="205" customFormat="1" ht="12.75">
      <c r="A37" s="1334"/>
      <c r="B37" s="1347"/>
      <c r="C37" s="1347"/>
      <c r="D37" s="1347"/>
      <c r="E37" s="1350"/>
      <c r="F37" s="1353"/>
      <c r="G37" s="1354"/>
      <c r="H37" s="1355"/>
      <c r="I37" s="1355"/>
      <c r="J37" s="681" t="s">
        <v>151</v>
      </c>
      <c r="K37" s="659">
        <v>150000</v>
      </c>
      <c r="L37" s="659">
        <v>312500</v>
      </c>
      <c r="M37" s="659"/>
      <c r="N37" s="689"/>
    </row>
    <row r="38" spans="1:14" s="205" customFormat="1" ht="17.25" customHeight="1">
      <c r="A38" s="1306">
        <v>5</v>
      </c>
      <c r="B38" s="1309">
        <v>900</v>
      </c>
      <c r="C38" s="1309">
        <v>90001</v>
      </c>
      <c r="D38" s="1312" t="s">
        <v>200</v>
      </c>
      <c r="E38" s="1313" t="s">
        <v>728</v>
      </c>
      <c r="F38" s="1338" t="s">
        <v>201</v>
      </c>
      <c r="G38" s="1341" t="s">
        <v>851</v>
      </c>
      <c r="H38" s="1344">
        <v>2540000</v>
      </c>
      <c r="I38" s="1319">
        <v>2456000</v>
      </c>
      <c r="J38" s="677" t="s">
        <v>166</v>
      </c>
      <c r="K38" s="1112">
        <v>100000</v>
      </c>
      <c r="L38" s="1112">
        <v>1000000</v>
      </c>
      <c r="M38" s="1112">
        <v>1356000</v>
      </c>
      <c r="N38" s="1113"/>
    </row>
    <row r="39" spans="1:14" s="205" customFormat="1" ht="17.25" customHeight="1">
      <c r="A39" s="1307"/>
      <c r="B39" s="1310"/>
      <c r="C39" s="1310"/>
      <c r="D39" s="1310"/>
      <c r="E39" s="1314"/>
      <c r="F39" s="1339"/>
      <c r="G39" s="1342"/>
      <c r="H39" s="1345"/>
      <c r="I39" s="1320"/>
      <c r="J39" s="678" t="s">
        <v>149</v>
      </c>
      <c r="K39" s="658"/>
      <c r="L39" s="658">
        <f>L38*75%</f>
        <v>750000</v>
      </c>
      <c r="M39" s="658">
        <f>M38*75%</f>
        <v>1017000</v>
      </c>
      <c r="N39" s="687">
        <f>N38*85%</f>
        <v>0</v>
      </c>
    </row>
    <row r="40" spans="1:14" s="205" customFormat="1" ht="17.25" customHeight="1">
      <c r="A40" s="1307"/>
      <c r="B40" s="1310"/>
      <c r="C40" s="1310"/>
      <c r="D40" s="1310"/>
      <c r="E40" s="1314"/>
      <c r="F40" s="1339"/>
      <c r="G40" s="1342"/>
      <c r="H40" s="1345"/>
      <c r="I40" s="1320"/>
      <c r="J40" s="678" t="s">
        <v>150</v>
      </c>
      <c r="K40" s="658">
        <f>K38*25%</f>
        <v>25000</v>
      </c>
      <c r="L40" s="658">
        <f>L38*25%</f>
        <v>250000</v>
      </c>
      <c r="M40" s="658">
        <f>M38*25%</f>
        <v>339000</v>
      </c>
      <c r="N40" s="687"/>
    </row>
    <row r="41" spans="1:14" s="205" customFormat="1" ht="17.25" customHeight="1">
      <c r="A41" s="1308"/>
      <c r="B41" s="1311"/>
      <c r="C41" s="1311"/>
      <c r="D41" s="1347"/>
      <c r="E41" s="1315"/>
      <c r="F41" s="1340"/>
      <c r="G41" s="1343"/>
      <c r="H41" s="1346"/>
      <c r="I41" s="1321"/>
      <c r="J41" s="679" t="s">
        <v>151</v>
      </c>
      <c r="K41" s="660">
        <f>K38*75%</f>
        <v>75000</v>
      </c>
      <c r="L41" s="660"/>
      <c r="M41" s="660"/>
      <c r="N41" s="688"/>
    </row>
    <row r="42" spans="1:14" s="1029" customFormat="1" ht="12.75" hidden="1">
      <c r="A42" s="1335">
        <v>10</v>
      </c>
      <c r="B42" s="1309">
        <v>900</v>
      </c>
      <c r="C42" s="1309">
        <v>90001</v>
      </c>
      <c r="D42" s="1309"/>
      <c r="E42" s="1313" t="s">
        <v>728</v>
      </c>
      <c r="F42" s="1212" t="s">
        <v>691</v>
      </c>
      <c r="G42" s="1316"/>
      <c r="H42" s="1319"/>
      <c r="I42" s="1303"/>
      <c r="J42" s="677" t="s">
        <v>166</v>
      </c>
      <c r="K42" s="1112"/>
      <c r="L42" s="1112"/>
      <c r="M42" s="1112"/>
      <c r="N42" s="1113"/>
    </row>
    <row r="43" spans="1:14" s="1029" customFormat="1" ht="12.75" hidden="1">
      <c r="A43" s="1336"/>
      <c r="B43" s="1310"/>
      <c r="C43" s="1310"/>
      <c r="D43" s="1310"/>
      <c r="E43" s="1314"/>
      <c r="F43" s="1227"/>
      <c r="G43" s="1317"/>
      <c r="H43" s="1320"/>
      <c r="I43" s="1304"/>
      <c r="J43" s="678" t="s">
        <v>149</v>
      </c>
      <c r="K43" s="658">
        <f>K42*75%</f>
        <v>0</v>
      </c>
      <c r="L43" s="658">
        <f>L42*75%</f>
        <v>0</v>
      </c>
      <c r="M43" s="658"/>
      <c r="N43" s="687"/>
    </row>
    <row r="44" spans="1:14" s="1029" customFormat="1" ht="12.75" hidden="1">
      <c r="A44" s="1336"/>
      <c r="B44" s="1310"/>
      <c r="C44" s="1310"/>
      <c r="D44" s="1310"/>
      <c r="E44" s="1314"/>
      <c r="F44" s="1227"/>
      <c r="G44" s="1317"/>
      <c r="H44" s="1320"/>
      <c r="I44" s="1304"/>
      <c r="J44" s="678" t="s">
        <v>150</v>
      </c>
      <c r="K44" s="658">
        <f>K42*25%</f>
        <v>0</v>
      </c>
      <c r="L44" s="658">
        <f>L42*25%</f>
        <v>0</v>
      </c>
      <c r="M44" s="658"/>
      <c r="N44" s="687"/>
    </row>
    <row r="45" spans="1:14" s="1029" customFormat="1" ht="12.75" hidden="1">
      <c r="A45" s="1337"/>
      <c r="B45" s="1311"/>
      <c r="C45" s="1311"/>
      <c r="D45" s="1311"/>
      <c r="E45" s="1315"/>
      <c r="F45" s="1228"/>
      <c r="G45" s="1318"/>
      <c r="H45" s="1321"/>
      <c r="I45" s="1305"/>
      <c r="J45" s="679" t="s">
        <v>151</v>
      </c>
      <c r="K45" s="660"/>
      <c r="L45" s="660"/>
      <c r="M45" s="660"/>
      <c r="N45" s="688"/>
    </row>
    <row r="46" spans="1:14" s="205" customFormat="1" ht="12.75">
      <c r="A46" s="1306">
        <v>6</v>
      </c>
      <c r="B46" s="1309">
        <v>921</v>
      </c>
      <c r="C46" s="1309">
        <v>92109</v>
      </c>
      <c r="D46" s="1312" t="s">
        <v>364</v>
      </c>
      <c r="E46" s="1313" t="s">
        <v>728</v>
      </c>
      <c r="F46" s="1212" t="s">
        <v>697</v>
      </c>
      <c r="G46" s="1316" t="s">
        <v>163</v>
      </c>
      <c r="H46" s="1319">
        <v>364625</v>
      </c>
      <c r="I46" s="1319">
        <v>358625</v>
      </c>
      <c r="J46" s="677" t="s">
        <v>166</v>
      </c>
      <c r="K46" s="1112">
        <v>358625</v>
      </c>
      <c r="L46" s="1112"/>
      <c r="M46" s="1112"/>
      <c r="N46" s="1113"/>
    </row>
    <row r="47" spans="1:14" s="205" customFormat="1" ht="12.75">
      <c r="A47" s="1307"/>
      <c r="B47" s="1310"/>
      <c r="C47" s="1310"/>
      <c r="D47" s="1310"/>
      <c r="E47" s="1314"/>
      <c r="F47" s="1227"/>
      <c r="G47" s="1317"/>
      <c r="H47" s="1320"/>
      <c r="I47" s="1320"/>
      <c r="J47" s="678" t="s">
        <v>149</v>
      </c>
      <c r="K47" s="658"/>
      <c r="L47" s="658"/>
      <c r="M47" s="658"/>
      <c r="N47" s="687"/>
    </row>
    <row r="48" spans="1:14" s="205" customFormat="1" ht="12.75">
      <c r="A48" s="1307"/>
      <c r="B48" s="1310"/>
      <c r="C48" s="1310"/>
      <c r="D48" s="1310"/>
      <c r="E48" s="1314"/>
      <c r="F48" s="1227"/>
      <c r="G48" s="1317"/>
      <c r="H48" s="1320"/>
      <c r="I48" s="1320"/>
      <c r="J48" s="678" t="s">
        <v>150</v>
      </c>
      <c r="K48" s="658">
        <f>K46*25%</f>
        <v>89656.25</v>
      </c>
      <c r="L48" s="658"/>
      <c r="M48" s="658"/>
      <c r="N48" s="687"/>
    </row>
    <row r="49" spans="1:14" s="205" customFormat="1" ht="12.75">
      <c r="A49" s="1308"/>
      <c r="B49" s="1311"/>
      <c r="C49" s="1311"/>
      <c r="D49" s="1311"/>
      <c r="E49" s="1315"/>
      <c r="F49" s="1228"/>
      <c r="G49" s="1318"/>
      <c r="H49" s="1321"/>
      <c r="I49" s="1321"/>
      <c r="J49" s="679" t="s">
        <v>151</v>
      </c>
      <c r="K49" s="660">
        <f>K46*75%</f>
        <v>268968.75</v>
      </c>
      <c r="L49" s="660"/>
      <c r="M49" s="660"/>
      <c r="N49" s="688"/>
    </row>
    <row r="50" spans="1:14" s="1029" customFormat="1" ht="12.75" hidden="1">
      <c r="A50" s="1335">
        <v>12</v>
      </c>
      <c r="B50" s="1309">
        <v>921</v>
      </c>
      <c r="C50" s="1309">
        <v>92109</v>
      </c>
      <c r="D50" s="1309"/>
      <c r="E50" s="1313" t="s">
        <v>728</v>
      </c>
      <c r="F50" s="1212"/>
      <c r="G50" s="1316"/>
      <c r="H50" s="1319"/>
      <c r="I50" s="1303"/>
      <c r="J50" s="677" t="s">
        <v>166</v>
      </c>
      <c r="K50" s="1112"/>
      <c r="L50" s="1112"/>
      <c r="M50" s="1112"/>
      <c r="N50" s="1113"/>
    </row>
    <row r="51" spans="1:14" s="1029" customFormat="1" ht="12.75" hidden="1">
      <c r="A51" s="1336"/>
      <c r="B51" s="1310"/>
      <c r="C51" s="1310"/>
      <c r="D51" s="1310"/>
      <c r="E51" s="1314"/>
      <c r="F51" s="1227"/>
      <c r="G51" s="1317"/>
      <c r="H51" s="1320"/>
      <c r="I51" s="1304"/>
      <c r="J51" s="678" t="s">
        <v>149</v>
      </c>
      <c r="K51" s="658">
        <f>K50*75%</f>
        <v>0</v>
      </c>
      <c r="L51" s="658">
        <f>L50*75%</f>
        <v>0</v>
      </c>
      <c r="M51" s="658"/>
      <c r="N51" s="687"/>
    </row>
    <row r="52" spans="1:14" s="1029" customFormat="1" ht="12.75" hidden="1">
      <c r="A52" s="1336"/>
      <c r="B52" s="1310"/>
      <c r="C52" s="1310"/>
      <c r="D52" s="1310"/>
      <c r="E52" s="1314"/>
      <c r="F52" s="1227"/>
      <c r="G52" s="1317"/>
      <c r="H52" s="1320"/>
      <c r="I52" s="1304"/>
      <c r="J52" s="678" t="s">
        <v>150</v>
      </c>
      <c r="K52" s="658">
        <f>K50*25%</f>
        <v>0</v>
      </c>
      <c r="L52" s="658">
        <f>L50*25%</f>
        <v>0</v>
      </c>
      <c r="M52" s="658"/>
      <c r="N52" s="687"/>
    </row>
    <row r="53" spans="1:14" s="1029" customFormat="1" ht="12.75" hidden="1">
      <c r="A53" s="1337"/>
      <c r="B53" s="1311"/>
      <c r="C53" s="1311"/>
      <c r="D53" s="1311"/>
      <c r="E53" s="1315"/>
      <c r="F53" s="1228"/>
      <c r="G53" s="1318"/>
      <c r="H53" s="1321"/>
      <c r="I53" s="1305"/>
      <c r="J53" s="679" t="s">
        <v>151</v>
      </c>
      <c r="K53" s="660"/>
      <c r="L53" s="660"/>
      <c r="M53" s="660"/>
      <c r="N53" s="688"/>
    </row>
    <row r="54" spans="1:14" s="205" customFormat="1" ht="12.75" customHeight="1">
      <c r="A54" s="1306">
        <v>7</v>
      </c>
      <c r="B54" s="1309">
        <v>921</v>
      </c>
      <c r="C54" s="1309">
        <v>92109</v>
      </c>
      <c r="D54" s="1312" t="s">
        <v>364</v>
      </c>
      <c r="E54" s="1313" t="s">
        <v>728</v>
      </c>
      <c r="F54" s="1212" t="s">
        <v>698</v>
      </c>
      <c r="G54" s="1316" t="s">
        <v>675</v>
      </c>
      <c r="H54" s="1319">
        <v>365000</v>
      </c>
      <c r="I54" s="1319">
        <v>340000</v>
      </c>
      <c r="J54" s="677" t="s">
        <v>166</v>
      </c>
      <c r="K54" s="1112">
        <v>25000</v>
      </c>
      <c r="L54" s="1112">
        <v>340000</v>
      </c>
      <c r="M54" s="1112"/>
      <c r="N54" s="1113"/>
    </row>
    <row r="55" spans="1:14" s="205" customFormat="1" ht="12.75" customHeight="1">
      <c r="A55" s="1307"/>
      <c r="B55" s="1310"/>
      <c r="C55" s="1310"/>
      <c r="D55" s="1310"/>
      <c r="E55" s="1314"/>
      <c r="F55" s="1227"/>
      <c r="G55" s="1317"/>
      <c r="H55" s="1320"/>
      <c r="I55" s="1320"/>
      <c r="J55" s="678" t="s">
        <v>149</v>
      </c>
      <c r="K55" s="658"/>
      <c r="L55" s="658">
        <f>L54*75%</f>
        <v>255000</v>
      </c>
      <c r="M55" s="658"/>
      <c r="N55" s="687"/>
    </row>
    <row r="56" spans="1:14" s="205" customFormat="1" ht="12.75" customHeight="1">
      <c r="A56" s="1307"/>
      <c r="B56" s="1310"/>
      <c r="C56" s="1310"/>
      <c r="D56" s="1310"/>
      <c r="E56" s="1314"/>
      <c r="F56" s="1227"/>
      <c r="G56" s="1317"/>
      <c r="H56" s="1320"/>
      <c r="I56" s="1320"/>
      <c r="J56" s="678" t="s">
        <v>150</v>
      </c>
      <c r="K56" s="658">
        <v>25000</v>
      </c>
      <c r="L56" s="658">
        <f>L54*25%</f>
        <v>85000</v>
      </c>
      <c r="M56" s="658"/>
      <c r="N56" s="687"/>
    </row>
    <row r="57" spans="1:14" s="205" customFormat="1" ht="12.75" customHeight="1">
      <c r="A57" s="1334"/>
      <c r="B57" s="1311"/>
      <c r="C57" s="1311"/>
      <c r="D57" s="1311"/>
      <c r="E57" s="1315"/>
      <c r="F57" s="1228"/>
      <c r="G57" s="1318"/>
      <c r="H57" s="1321"/>
      <c r="I57" s="1321"/>
      <c r="J57" s="679" t="s">
        <v>151</v>
      </c>
      <c r="K57" s="660"/>
      <c r="L57" s="660"/>
      <c r="M57" s="660"/>
      <c r="N57" s="688"/>
    </row>
    <row r="58" spans="1:14" s="205" customFormat="1" ht="12.75" customHeight="1">
      <c r="A58" s="1306">
        <v>8</v>
      </c>
      <c r="B58" s="1309">
        <v>921</v>
      </c>
      <c r="C58" s="1309">
        <v>92109</v>
      </c>
      <c r="D58" s="1312" t="s">
        <v>367</v>
      </c>
      <c r="E58" s="1313" t="s">
        <v>728</v>
      </c>
      <c r="F58" s="1212" t="s">
        <v>699</v>
      </c>
      <c r="G58" s="1316" t="s">
        <v>360</v>
      </c>
      <c r="H58" s="1319">
        <v>438300</v>
      </c>
      <c r="I58" s="1319">
        <v>430000</v>
      </c>
      <c r="J58" s="677" t="s">
        <v>166</v>
      </c>
      <c r="K58" s="1112"/>
      <c r="L58" s="1112"/>
      <c r="M58" s="1112"/>
      <c r="N58" s="1112">
        <v>430000</v>
      </c>
    </row>
    <row r="59" spans="1:14" s="205" customFormat="1" ht="12.75" customHeight="1">
      <c r="A59" s="1307"/>
      <c r="B59" s="1310"/>
      <c r="C59" s="1310"/>
      <c r="D59" s="1310"/>
      <c r="E59" s="1314"/>
      <c r="F59" s="1227"/>
      <c r="G59" s="1317"/>
      <c r="H59" s="1320"/>
      <c r="I59" s="1320"/>
      <c r="J59" s="678" t="s">
        <v>149</v>
      </c>
      <c r="K59" s="658"/>
      <c r="L59" s="658">
        <f>L58*75%</f>
        <v>0</v>
      </c>
      <c r="M59" s="658">
        <f>M58*75%</f>
        <v>0</v>
      </c>
      <c r="N59" s="658">
        <f>N58*75%</f>
        <v>322500</v>
      </c>
    </row>
    <row r="60" spans="1:14" s="205" customFormat="1" ht="12.75" customHeight="1">
      <c r="A60" s="1307"/>
      <c r="B60" s="1310"/>
      <c r="C60" s="1310"/>
      <c r="D60" s="1310"/>
      <c r="E60" s="1314"/>
      <c r="F60" s="1227"/>
      <c r="G60" s="1317"/>
      <c r="H60" s="1320"/>
      <c r="I60" s="1320"/>
      <c r="J60" s="678" t="s">
        <v>150</v>
      </c>
      <c r="K60" s="658"/>
      <c r="L60" s="658">
        <f>L58*25%</f>
        <v>0</v>
      </c>
      <c r="M60" s="658">
        <f>M58*25%</f>
        <v>0</v>
      </c>
      <c r="N60" s="658">
        <f>N58*25%</f>
        <v>107500</v>
      </c>
    </row>
    <row r="61" spans="1:14" s="205" customFormat="1" ht="12.75" customHeight="1">
      <c r="A61" s="1308"/>
      <c r="B61" s="1311"/>
      <c r="C61" s="1311"/>
      <c r="D61" s="1311"/>
      <c r="E61" s="1315"/>
      <c r="F61" s="1228"/>
      <c r="G61" s="1318"/>
      <c r="H61" s="1321"/>
      <c r="I61" s="1321"/>
      <c r="J61" s="679" t="s">
        <v>151</v>
      </c>
      <c r="K61" s="660"/>
      <c r="L61" s="660"/>
      <c r="M61" s="660"/>
      <c r="N61" s="660"/>
    </row>
    <row r="62" spans="1:14" s="1029" customFormat="1" ht="15" customHeight="1" hidden="1">
      <c r="A62" s="1328">
        <v>15</v>
      </c>
      <c r="B62" s="1331">
        <v>926</v>
      </c>
      <c r="C62" s="1331">
        <v>92601</v>
      </c>
      <c r="D62" s="1331"/>
      <c r="E62" s="1322" t="s">
        <v>730</v>
      </c>
      <c r="F62" s="1325" t="s">
        <v>670</v>
      </c>
      <c r="G62" s="1316"/>
      <c r="H62" s="1319"/>
      <c r="I62" s="1303"/>
      <c r="J62" s="677" t="s">
        <v>166</v>
      </c>
      <c r="K62" s="1112"/>
      <c r="L62" s="1112"/>
      <c r="M62" s="1112"/>
      <c r="N62" s="1113"/>
    </row>
    <row r="63" spans="1:14" s="1029" customFormat="1" ht="15" customHeight="1" hidden="1">
      <c r="A63" s="1329"/>
      <c r="B63" s="1332"/>
      <c r="C63" s="1332"/>
      <c r="D63" s="1332"/>
      <c r="E63" s="1323"/>
      <c r="F63" s="1326"/>
      <c r="G63" s="1317"/>
      <c r="H63" s="1320"/>
      <c r="I63" s="1304"/>
      <c r="J63" s="678" t="s">
        <v>149</v>
      </c>
      <c r="K63" s="658"/>
      <c r="L63" s="658">
        <f>L62*85%</f>
        <v>0</v>
      </c>
      <c r="M63" s="658">
        <f>M62*85%</f>
        <v>0</v>
      </c>
      <c r="N63" s="687"/>
    </row>
    <row r="64" spans="1:14" s="1029" customFormat="1" ht="15" customHeight="1" hidden="1">
      <c r="A64" s="1329"/>
      <c r="B64" s="1332"/>
      <c r="C64" s="1332"/>
      <c r="D64" s="1332"/>
      <c r="E64" s="1323"/>
      <c r="F64" s="1326"/>
      <c r="G64" s="1317"/>
      <c r="H64" s="1320"/>
      <c r="I64" s="1304"/>
      <c r="J64" s="678" t="s">
        <v>150</v>
      </c>
      <c r="K64" s="658"/>
      <c r="L64" s="658">
        <f>L62*15%</f>
        <v>0</v>
      </c>
      <c r="M64" s="658">
        <f>M62*15%</f>
        <v>0</v>
      </c>
      <c r="N64" s="687"/>
    </row>
    <row r="65" spans="1:14" s="1029" customFormat="1" ht="14.25" customHeight="1" hidden="1">
      <c r="A65" s="1330"/>
      <c r="B65" s="1333"/>
      <c r="C65" s="1333"/>
      <c r="D65" s="1333"/>
      <c r="E65" s="1324"/>
      <c r="F65" s="1327"/>
      <c r="G65" s="1318"/>
      <c r="H65" s="1321"/>
      <c r="I65" s="1305"/>
      <c r="J65" s="679" t="s">
        <v>151</v>
      </c>
      <c r="K65" s="659"/>
      <c r="L65" s="659"/>
      <c r="M65" s="659"/>
      <c r="N65" s="688"/>
    </row>
    <row r="66" spans="1:14" s="205" customFormat="1" ht="12.75" customHeight="1">
      <c r="A66" s="1306">
        <v>9</v>
      </c>
      <c r="B66" s="1309">
        <v>926</v>
      </c>
      <c r="C66" s="1309">
        <v>92601</v>
      </c>
      <c r="D66" s="1312" t="s">
        <v>367</v>
      </c>
      <c r="E66" s="1313" t="s">
        <v>728</v>
      </c>
      <c r="F66" s="1212" t="s">
        <v>719</v>
      </c>
      <c r="G66" s="1316" t="s">
        <v>569</v>
      </c>
      <c r="H66" s="1319">
        <v>660000</v>
      </c>
      <c r="I66" s="1319">
        <v>660000</v>
      </c>
      <c r="J66" s="677" t="s">
        <v>166</v>
      </c>
      <c r="K66" s="1112">
        <v>22000</v>
      </c>
      <c r="L66" s="1112">
        <v>319000</v>
      </c>
      <c r="M66" s="1112">
        <v>319000</v>
      </c>
      <c r="N66" s="1113"/>
    </row>
    <row r="67" spans="1:14" s="205" customFormat="1" ht="12.75" customHeight="1">
      <c r="A67" s="1307"/>
      <c r="B67" s="1310"/>
      <c r="C67" s="1310"/>
      <c r="D67" s="1310"/>
      <c r="E67" s="1314"/>
      <c r="F67" s="1227"/>
      <c r="G67" s="1317"/>
      <c r="H67" s="1320"/>
      <c r="I67" s="1320"/>
      <c r="J67" s="678" t="s">
        <v>149</v>
      </c>
      <c r="K67" s="658"/>
      <c r="L67" s="658">
        <f>L66*50%</f>
        <v>159500</v>
      </c>
      <c r="M67" s="658">
        <f>M66*50%</f>
        <v>159500</v>
      </c>
      <c r="N67" s="687"/>
    </row>
    <row r="68" spans="1:14" s="205" customFormat="1" ht="12.75" customHeight="1">
      <c r="A68" s="1307"/>
      <c r="B68" s="1310"/>
      <c r="C68" s="1310"/>
      <c r="D68" s="1310"/>
      <c r="E68" s="1314"/>
      <c r="F68" s="1227"/>
      <c r="G68" s="1317"/>
      <c r="H68" s="1320"/>
      <c r="I68" s="1320"/>
      <c r="J68" s="678" t="s">
        <v>150</v>
      </c>
      <c r="K68" s="658">
        <v>22000</v>
      </c>
      <c r="L68" s="658">
        <f>L66*50%</f>
        <v>159500</v>
      </c>
      <c r="M68" s="658">
        <f>M66*50%</f>
        <v>159500</v>
      </c>
      <c r="N68" s="687"/>
    </row>
    <row r="69" spans="1:14" s="205" customFormat="1" ht="12.75" customHeight="1" thickBot="1">
      <c r="A69" s="1308"/>
      <c r="B69" s="1311"/>
      <c r="C69" s="1311"/>
      <c r="D69" s="1311"/>
      <c r="E69" s="1315"/>
      <c r="F69" s="1228"/>
      <c r="G69" s="1318"/>
      <c r="H69" s="1321"/>
      <c r="I69" s="1321"/>
      <c r="J69" s="679" t="s">
        <v>151</v>
      </c>
      <c r="K69" s="660"/>
      <c r="L69" s="660"/>
      <c r="M69" s="660"/>
      <c r="N69" s="688"/>
    </row>
    <row r="70" spans="1:14" s="205" customFormat="1" ht="14.25" customHeight="1" hidden="1">
      <c r="A70" s="690"/>
      <c r="B70" s="672"/>
      <c r="C70" s="672"/>
      <c r="D70" s="672"/>
      <c r="E70" s="673"/>
      <c r="F70" s="1380"/>
      <c r="G70" s="1377"/>
      <c r="H70" s="1374"/>
      <c r="I70" s="1374"/>
      <c r="J70" s="677" t="s">
        <v>166</v>
      </c>
      <c r="K70" s="682"/>
      <c r="L70" s="682"/>
      <c r="M70" s="682"/>
      <c r="N70" s="691"/>
    </row>
    <row r="71" spans="1:14" s="205" customFormat="1" ht="14.25" customHeight="1" hidden="1">
      <c r="A71" s="690"/>
      <c r="B71" s="672"/>
      <c r="C71" s="672"/>
      <c r="D71" s="672"/>
      <c r="E71" s="673"/>
      <c r="F71" s="1381"/>
      <c r="G71" s="1378"/>
      <c r="H71" s="1375"/>
      <c r="I71" s="1375"/>
      <c r="J71" s="678" t="s">
        <v>149</v>
      </c>
      <c r="K71" s="658"/>
      <c r="L71" s="658"/>
      <c r="M71" s="658"/>
      <c r="N71" s="687"/>
    </row>
    <row r="72" spans="1:14" s="205" customFormat="1" ht="14.25" customHeight="1" hidden="1">
      <c r="A72" s="690"/>
      <c r="B72" s="672"/>
      <c r="C72" s="672"/>
      <c r="D72" s="672"/>
      <c r="E72" s="673"/>
      <c r="F72" s="1381"/>
      <c r="G72" s="1378"/>
      <c r="H72" s="1375"/>
      <c r="I72" s="1375"/>
      <c r="J72" s="678" t="s">
        <v>150</v>
      </c>
      <c r="K72" s="658"/>
      <c r="L72" s="658"/>
      <c r="M72" s="658"/>
      <c r="N72" s="687"/>
    </row>
    <row r="73" spans="1:14" s="205" customFormat="1" ht="15" customHeight="1" hidden="1" thickBot="1">
      <c r="A73" s="690"/>
      <c r="B73" s="672"/>
      <c r="C73" s="672"/>
      <c r="D73" s="672"/>
      <c r="E73" s="673"/>
      <c r="F73" s="1382"/>
      <c r="G73" s="1379"/>
      <c r="H73" s="1376"/>
      <c r="I73" s="1376"/>
      <c r="J73" s="679" t="s">
        <v>151</v>
      </c>
      <c r="K73" s="683"/>
      <c r="L73" s="683"/>
      <c r="M73" s="683"/>
      <c r="N73" s="692"/>
    </row>
    <row r="74" spans="1:14" s="205" customFormat="1" ht="12.75" customHeight="1">
      <c r="A74" s="1277" t="s">
        <v>166</v>
      </c>
      <c r="B74" s="1278"/>
      <c r="C74" s="1278"/>
      <c r="D74" s="1278"/>
      <c r="E74" s="1278"/>
      <c r="F74" s="1278"/>
      <c r="G74" s="1279"/>
      <c r="H74" s="1392">
        <f>SUM(H6:H69)</f>
        <v>9650925</v>
      </c>
      <c r="I74" s="1392">
        <f>SUM(I6:I69)</f>
        <v>9467625</v>
      </c>
      <c r="J74" s="1114" t="s">
        <v>166</v>
      </c>
      <c r="K74" s="1115">
        <f>K70+K66+K62+K58+K54+K50+K46+K42+K38+K34+K30+K26+K22+K18+K14+K10+K6</f>
        <v>2035625</v>
      </c>
      <c r="L74" s="1115">
        <f>L70+L66+L62+L58+L54+L50+L46+L42+L38+L34+L30+L26+L22+L18+L14+L10+L6</f>
        <v>4482000</v>
      </c>
      <c r="M74" s="1115">
        <f>M70+M66+M62+M58+M54+M50+M46+M42+M38+M34+M30+M26+M22+M18+M14+M10+M6</f>
        <v>2500000</v>
      </c>
      <c r="N74" s="1116">
        <f>N70+N66+N62+N58+N54+N50+N46+N42+N38+N34+N30+N26+N22+N18+N14+N10+N6</f>
        <v>430000</v>
      </c>
    </row>
    <row r="75" spans="1:14" s="205" customFormat="1" ht="12.75" customHeight="1">
      <c r="A75" s="1280"/>
      <c r="B75" s="1281"/>
      <c r="C75" s="1281"/>
      <c r="D75" s="1281"/>
      <c r="E75" s="1281"/>
      <c r="F75" s="1281"/>
      <c r="G75" s="1282"/>
      <c r="H75" s="1393"/>
      <c r="I75" s="1393"/>
      <c r="J75" s="678" t="s">
        <v>149</v>
      </c>
      <c r="K75" s="676">
        <f aca="true" t="shared" si="0" ref="K75:N77">K71+K67+K63+K59+K55+K51+K47+K43+K39+K35+K31+K27+K23+K19+K15+K11+K7</f>
        <v>25000</v>
      </c>
      <c r="L75" s="676">
        <f t="shared" si="0"/>
        <v>2489500</v>
      </c>
      <c r="M75" s="676">
        <f t="shared" si="0"/>
        <v>1540750</v>
      </c>
      <c r="N75" s="693">
        <f t="shared" si="0"/>
        <v>322500</v>
      </c>
    </row>
    <row r="76" spans="1:14" s="205" customFormat="1" ht="12.75" customHeight="1">
      <c r="A76" s="1280"/>
      <c r="B76" s="1281"/>
      <c r="C76" s="1281"/>
      <c r="D76" s="1281"/>
      <c r="E76" s="1281"/>
      <c r="F76" s="1281"/>
      <c r="G76" s="1282"/>
      <c r="H76" s="1393"/>
      <c r="I76" s="1393"/>
      <c r="J76" s="678" t="s">
        <v>150</v>
      </c>
      <c r="K76" s="676">
        <f t="shared" si="0"/>
        <v>439756.25</v>
      </c>
      <c r="L76" s="676">
        <f t="shared" si="0"/>
        <v>895450</v>
      </c>
      <c r="M76" s="676">
        <f t="shared" si="0"/>
        <v>826650</v>
      </c>
      <c r="N76" s="693">
        <f t="shared" si="0"/>
        <v>107500</v>
      </c>
    </row>
    <row r="77" spans="1:14" s="205" customFormat="1" ht="12.75" customHeight="1" thickBot="1">
      <c r="A77" s="1283"/>
      <c r="B77" s="1284"/>
      <c r="C77" s="1284"/>
      <c r="D77" s="1284"/>
      <c r="E77" s="1284"/>
      <c r="F77" s="1284"/>
      <c r="G77" s="1285"/>
      <c r="H77" s="1394"/>
      <c r="I77" s="1394"/>
      <c r="J77" s="684" t="s">
        <v>151</v>
      </c>
      <c r="K77" s="694">
        <f t="shared" si="0"/>
        <v>1570868.75</v>
      </c>
      <c r="L77" s="694">
        <f t="shared" si="0"/>
        <v>1097050</v>
      </c>
      <c r="M77" s="694">
        <f t="shared" si="0"/>
        <v>132600</v>
      </c>
      <c r="N77" s="695">
        <f t="shared" si="0"/>
        <v>0</v>
      </c>
    </row>
  </sheetData>
  <mergeCells count="165">
    <mergeCell ref="A2:M2"/>
    <mergeCell ref="H74:H77"/>
    <mergeCell ref="I74:I77"/>
    <mergeCell ref="J4:J5"/>
    <mergeCell ref="F4:F5"/>
    <mergeCell ref="A4:A5"/>
    <mergeCell ref="E4:E5"/>
    <mergeCell ref="B4:B5"/>
    <mergeCell ref="C4:C5"/>
    <mergeCell ref="D4:D5"/>
    <mergeCell ref="A74:G77"/>
    <mergeCell ref="L1:N1"/>
    <mergeCell ref="A3:I3"/>
    <mergeCell ref="H4:H5"/>
    <mergeCell ref="I4:I5"/>
    <mergeCell ref="G4:G5"/>
    <mergeCell ref="K4:N4"/>
    <mergeCell ref="E6:E9"/>
    <mergeCell ref="F6:F9"/>
    <mergeCell ref="G6:G9"/>
    <mergeCell ref="I70:I73"/>
    <mergeCell ref="H70:H73"/>
    <mergeCell ref="G70:G73"/>
    <mergeCell ref="F70:F73"/>
    <mergeCell ref="H10:H13"/>
    <mergeCell ref="A6:A9"/>
    <mergeCell ref="B6:B9"/>
    <mergeCell ref="C6:C9"/>
    <mergeCell ref="D6:D9"/>
    <mergeCell ref="I10:I13"/>
    <mergeCell ref="H6:H9"/>
    <mergeCell ref="I6:I9"/>
    <mergeCell ref="A10:A13"/>
    <mergeCell ref="B10:B13"/>
    <mergeCell ref="C10:C13"/>
    <mergeCell ref="D10:D13"/>
    <mergeCell ref="E10:E13"/>
    <mergeCell ref="F10:F13"/>
    <mergeCell ref="G10:G13"/>
    <mergeCell ref="F18:F21"/>
    <mergeCell ref="G18:G21"/>
    <mergeCell ref="H18:H21"/>
    <mergeCell ref="A18:A21"/>
    <mergeCell ref="B18:B21"/>
    <mergeCell ref="C18:C21"/>
    <mergeCell ref="D18:D21"/>
    <mergeCell ref="I18:I21"/>
    <mergeCell ref="A14:A17"/>
    <mergeCell ref="B14:B17"/>
    <mergeCell ref="C14:C17"/>
    <mergeCell ref="E14:E17"/>
    <mergeCell ref="F14:F17"/>
    <mergeCell ref="G14:G17"/>
    <mergeCell ref="H14:H17"/>
    <mergeCell ref="I14:I17"/>
    <mergeCell ref="E18:E21"/>
    <mergeCell ref="A22:A25"/>
    <mergeCell ref="B22:B25"/>
    <mergeCell ref="C22:C25"/>
    <mergeCell ref="D22:D25"/>
    <mergeCell ref="E22:E25"/>
    <mergeCell ref="F22:F25"/>
    <mergeCell ref="G22:G25"/>
    <mergeCell ref="H22:H25"/>
    <mergeCell ref="I22:I25"/>
    <mergeCell ref="A26:A29"/>
    <mergeCell ref="B26:B29"/>
    <mergeCell ref="C26:C29"/>
    <mergeCell ref="D26:D29"/>
    <mergeCell ref="E26:E29"/>
    <mergeCell ref="F26:F29"/>
    <mergeCell ref="G26:G29"/>
    <mergeCell ref="H26:H29"/>
    <mergeCell ref="I26:I29"/>
    <mergeCell ref="A30:A33"/>
    <mergeCell ref="B30:B33"/>
    <mergeCell ref="C30:C33"/>
    <mergeCell ref="D30:D33"/>
    <mergeCell ref="E30:E33"/>
    <mergeCell ref="F30:F33"/>
    <mergeCell ref="G30:G33"/>
    <mergeCell ref="H30:H33"/>
    <mergeCell ref="I30:I33"/>
    <mergeCell ref="A34:A37"/>
    <mergeCell ref="B34:B37"/>
    <mergeCell ref="C34:C37"/>
    <mergeCell ref="D34:D37"/>
    <mergeCell ref="E34:E37"/>
    <mergeCell ref="F34:F37"/>
    <mergeCell ref="G34:G37"/>
    <mergeCell ref="H34:H37"/>
    <mergeCell ref="I34:I37"/>
    <mergeCell ref="A38:A41"/>
    <mergeCell ref="B38:B41"/>
    <mergeCell ref="C38:C41"/>
    <mergeCell ref="D38:D41"/>
    <mergeCell ref="E38:E41"/>
    <mergeCell ref="F38:F41"/>
    <mergeCell ref="G38:G41"/>
    <mergeCell ref="H38:H41"/>
    <mergeCell ref="I38:I41"/>
    <mergeCell ref="A42:A45"/>
    <mergeCell ref="B42:B45"/>
    <mergeCell ref="C42:C45"/>
    <mergeCell ref="D42:D45"/>
    <mergeCell ref="E42:E45"/>
    <mergeCell ref="F42:F45"/>
    <mergeCell ref="G42:G45"/>
    <mergeCell ref="H42:H45"/>
    <mergeCell ref="I42:I45"/>
    <mergeCell ref="A46:A49"/>
    <mergeCell ref="B46:B49"/>
    <mergeCell ref="C46:C49"/>
    <mergeCell ref="D46:D49"/>
    <mergeCell ref="E46:E49"/>
    <mergeCell ref="F46:F49"/>
    <mergeCell ref="G46:G49"/>
    <mergeCell ref="H46:H49"/>
    <mergeCell ref="I46:I49"/>
    <mergeCell ref="A50:A53"/>
    <mergeCell ref="B50:B53"/>
    <mergeCell ref="C50:C53"/>
    <mergeCell ref="D50:D53"/>
    <mergeCell ref="E50:E53"/>
    <mergeCell ref="F50:F53"/>
    <mergeCell ref="G50:G53"/>
    <mergeCell ref="H50:H53"/>
    <mergeCell ref="I50:I53"/>
    <mergeCell ref="A54:A57"/>
    <mergeCell ref="B54:B57"/>
    <mergeCell ref="C54:C57"/>
    <mergeCell ref="D54:D57"/>
    <mergeCell ref="E54:E57"/>
    <mergeCell ref="F54:F57"/>
    <mergeCell ref="G54:G57"/>
    <mergeCell ref="H54:H57"/>
    <mergeCell ref="I54:I57"/>
    <mergeCell ref="A58:A61"/>
    <mergeCell ref="B58:B61"/>
    <mergeCell ref="C58:C61"/>
    <mergeCell ref="D58:D61"/>
    <mergeCell ref="E58:E61"/>
    <mergeCell ref="F58:F61"/>
    <mergeCell ref="G58:G61"/>
    <mergeCell ref="H58:H61"/>
    <mergeCell ref="I58:I61"/>
    <mergeCell ref="A62:A65"/>
    <mergeCell ref="B62:B65"/>
    <mergeCell ref="C62:C65"/>
    <mergeCell ref="D62:D65"/>
    <mergeCell ref="I66:I69"/>
    <mergeCell ref="E62:E65"/>
    <mergeCell ref="F62:F65"/>
    <mergeCell ref="G62:G65"/>
    <mergeCell ref="H62:H65"/>
    <mergeCell ref="D14:D17"/>
    <mergeCell ref="I62:I65"/>
    <mergeCell ref="A66:A69"/>
    <mergeCell ref="B66:B69"/>
    <mergeCell ref="C66:C69"/>
    <mergeCell ref="D66:D69"/>
    <mergeCell ref="E66:E69"/>
    <mergeCell ref="F66:F69"/>
    <mergeCell ref="G66:G69"/>
    <mergeCell ref="H66:H69"/>
  </mergeCells>
  <printOptions horizontalCentered="1"/>
  <pageMargins left="0.1968503937007874" right="0.15748031496062992" top="0.52" bottom="0.33" header="0.2755905511811024" footer="0.18"/>
  <pageSetup fitToHeight="1" fitToWidth="1" horizontalDpi="600" verticalDpi="600" orientation="landscape" paperSize="9" scale="69" r:id="rId1"/>
  <headerFooter alignWithMargins="0">
    <oddFooter>&amp;CStrona &amp;P z &amp;N</oddFooter>
  </headerFooter>
  <rowBreaks count="1" manualBreakCount="1">
    <brk id="57" max="1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8">
    <tabColor indexed="42"/>
  </sheetPr>
  <dimension ref="A1:K23"/>
  <sheetViews>
    <sheetView showGridLines="0" workbookViewId="0" topLeftCell="B1">
      <selection activeCell="B3" sqref="B3"/>
    </sheetView>
  </sheetViews>
  <sheetFormatPr defaultColWidth="9.00390625" defaultRowHeight="12.75"/>
  <cols>
    <col min="1" max="1" width="4.75390625" style="0" customWidth="1"/>
    <col min="2" max="2" width="30.00390625" style="0" customWidth="1"/>
    <col min="3" max="3" width="12.625" style="0" customWidth="1"/>
    <col min="4" max="4" width="12.125" style="0" customWidth="1"/>
    <col min="5" max="5" width="10.25390625" style="0" customWidth="1"/>
    <col min="6" max="6" width="8.75390625" style="0" customWidth="1"/>
    <col min="7" max="7" width="10.875" style="0" customWidth="1"/>
    <col min="8" max="8" width="12.125" style="0" customWidth="1"/>
    <col min="9" max="9" width="10.625" style="0" bestFit="1" customWidth="1"/>
    <col min="10" max="10" width="12.125" style="0" customWidth="1"/>
    <col min="11" max="11" width="14.75390625" style="0" customWidth="1"/>
  </cols>
  <sheetData>
    <row r="1" spans="10:11" ht="48.75" customHeight="1">
      <c r="J1" s="1148" t="s">
        <v>860</v>
      </c>
      <c r="K1" s="1148"/>
    </row>
    <row r="2" spans="1:10" ht="48" customHeight="1">
      <c r="A2" s="1187" t="s">
        <v>908</v>
      </c>
      <c r="B2" s="1188"/>
      <c r="C2" s="1188"/>
      <c r="D2" s="1188"/>
      <c r="E2" s="1188"/>
      <c r="F2" s="1188"/>
      <c r="G2" s="1404"/>
      <c r="H2" s="1405"/>
      <c r="I2" s="1405"/>
      <c r="J2" s="1405"/>
    </row>
    <row r="3" spans="1:11" ht="9.75" customHeight="1" thickBot="1">
      <c r="A3" s="2"/>
      <c r="B3" s="2"/>
      <c r="C3" s="2"/>
      <c r="D3" s="2"/>
      <c r="E3" s="2"/>
      <c r="F3" s="2"/>
      <c r="G3" s="2"/>
      <c r="H3" s="2"/>
      <c r="I3" s="2"/>
      <c r="K3" s="38" t="s">
        <v>92</v>
      </c>
    </row>
    <row r="4" spans="1:11" ht="30" customHeight="1">
      <c r="A4" s="1406"/>
      <c r="B4" s="1409" t="s">
        <v>50</v>
      </c>
      <c r="C4" s="1403" t="s">
        <v>114</v>
      </c>
      <c r="D4" s="1414" t="s">
        <v>60</v>
      </c>
      <c r="E4" s="1415"/>
      <c r="F4" s="1415"/>
      <c r="G4" s="1416"/>
      <c r="H4" s="1403" t="s">
        <v>59</v>
      </c>
      <c r="I4" s="1403"/>
      <c r="J4" s="1403" t="s">
        <v>116</v>
      </c>
      <c r="K4" s="1422" t="s">
        <v>165</v>
      </c>
    </row>
    <row r="5" spans="1:11" ht="12" customHeight="1">
      <c r="A5" s="1407"/>
      <c r="B5" s="1410"/>
      <c r="C5" s="1412"/>
      <c r="D5" s="1412" t="s">
        <v>57</v>
      </c>
      <c r="E5" s="1419" t="s">
        <v>56</v>
      </c>
      <c r="F5" s="1420"/>
      <c r="G5" s="1421"/>
      <c r="H5" s="1412" t="s">
        <v>57</v>
      </c>
      <c r="I5" s="1412" t="s">
        <v>115</v>
      </c>
      <c r="J5" s="1412"/>
      <c r="K5" s="1423"/>
    </row>
    <row r="6" spans="1:11" ht="18" customHeight="1">
      <c r="A6" s="1407"/>
      <c r="B6" s="1410"/>
      <c r="C6" s="1412"/>
      <c r="D6" s="1412"/>
      <c r="E6" s="1417" t="s">
        <v>162</v>
      </c>
      <c r="F6" s="1419" t="s">
        <v>120</v>
      </c>
      <c r="G6" s="1421"/>
      <c r="H6" s="1412"/>
      <c r="I6" s="1412"/>
      <c r="J6" s="1412"/>
      <c r="K6" s="1423"/>
    </row>
    <row r="7" spans="1:11" ht="42" customHeight="1" thickBot="1">
      <c r="A7" s="1408"/>
      <c r="B7" s="1411"/>
      <c r="C7" s="1413"/>
      <c r="D7" s="1413"/>
      <c r="E7" s="1418"/>
      <c r="F7" s="1089" t="s">
        <v>169</v>
      </c>
      <c r="G7" s="1089" t="s">
        <v>134</v>
      </c>
      <c r="H7" s="1413"/>
      <c r="I7" s="1413"/>
      <c r="J7" s="1413"/>
      <c r="K7" s="1424"/>
    </row>
    <row r="8" spans="1:11" ht="12.75" customHeight="1">
      <c r="A8" s="310">
        <v>1</v>
      </c>
      <c r="B8" s="310">
        <v>2</v>
      </c>
      <c r="C8" s="310">
        <v>3</v>
      </c>
      <c r="D8" s="310">
        <v>4</v>
      </c>
      <c r="E8" s="310">
        <v>5</v>
      </c>
      <c r="F8" s="310">
        <v>6</v>
      </c>
      <c r="G8" s="310">
        <v>7</v>
      </c>
      <c r="H8" s="310">
        <v>8</v>
      </c>
      <c r="I8" s="310">
        <v>9</v>
      </c>
      <c r="J8" s="310">
        <v>10</v>
      </c>
      <c r="K8" s="310">
        <v>11</v>
      </c>
    </row>
    <row r="9" spans="1:11" ht="29.25" customHeight="1">
      <c r="A9" s="33" t="s">
        <v>61</v>
      </c>
      <c r="B9" s="34" t="s">
        <v>62</v>
      </c>
      <c r="C9" s="232">
        <f>C11</f>
        <v>133374</v>
      </c>
      <c r="D9" s="232">
        <f aca="true" t="shared" si="0" ref="D9:J9">D11</f>
        <v>1573656</v>
      </c>
      <c r="E9" s="232">
        <f t="shared" si="0"/>
        <v>0</v>
      </c>
      <c r="F9" s="232">
        <f t="shared" si="0"/>
        <v>0</v>
      </c>
      <c r="G9" s="661">
        <v>8000</v>
      </c>
      <c r="H9" s="661">
        <f t="shared" si="0"/>
        <v>1707030</v>
      </c>
      <c r="I9" s="232">
        <f t="shared" si="0"/>
        <v>0</v>
      </c>
      <c r="J9" s="232">
        <f t="shared" si="0"/>
        <v>0</v>
      </c>
      <c r="K9" s="33" t="s">
        <v>101</v>
      </c>
    </row>
    <row r="10" spans="1:11" ht="19.5" customHeight="1">
      <c r="A10" s="17"/>
      <c r="B10" s="18" t="s">
        <v>120</v>
      </c>
      <c r="C10" s="226"/>
      <c r="D10" s="226"/>
      <c r="E10" s="226"/>
      <c r="F10" s="226"/>
      <c r="G10" s="233"/>
      <c r="H10" s="233"/>
      <c r="I10" s="226"/>
      <c r="J10" s="226"/>
      <c r="K10" s="17"/>
    </row>
    <row r="11" spans="1:11" ht="42" customHeight="1">
      <c r="A11" s="17"/>
      <c r="B11" s="229" t="s">
        <v>657</v>
      </c>
      <c r="C11" s="226">
        <v>133374</v>
      </c>
      <c r="D11" s="226">
        <f>1347986+217670+8000</f>
        <v>1573656</v>
      </c>
      <c r="E11" s="226">
        <v>0</v>
      </c>
      <c r="F11" s="226">
        <v>0</v>
      </c>
      <c r="G11" s="233">
        <v>8000</v>
      </c>
      <c r="H11" s="233">
        <f>1699030+8000</f>
        <v>1707030</v>
      </c>
      <c r="I11" s="226">
        <v>0</v>
      </c>
      <c r="J11" s="226">
        <v>0</v>
      </c>
      <c r="K11" s="17" t="s">
        <v>101</v>
      </c>
    </row>
    <row r="12" spans="1:11" ht="29.25" customHeight="1">
      <c r="A12" s="33" t="s">
        <v>67</v>
      </c>
      <c r="B12" s="34" t="s">
        <v>66</v>
      </c>
      <c r="C12" s="227">
        <f>C14</f>
        <v>0</v>
      </c>
      <c r="D12" s="227">
        <f aca="true" t="shared" si="1" ref="D12:J12">D14</f>
        <v>0</v>
      </c>
      <c r="E12" s="227">
        <f t="shared" si="1"/>
        <v>0</v>
      </c>
      <c r="F12" s="227">
        <f t="shared" si="1"/>
        <v>0</v>
      </c>
      <c r="G12" s="662">
        <f t="shared" si="1"/>
        <v>0</v>
      </c>
      <c r="H12" s="662">
        <f t="shared" si="1"/>
        <v>0</v>
      </c>
      <c r="I12" s="227">
        <f t="shared" si="1"/>
        <v>0</v>
      </c>
      <c r="J12" s="227">
        <f t="shared" si="1"/>
        <v>0</v>
      </c>
      <c r="K12" s="16" t="s">
        <v>101</v>
      </c>
    </row>
    <row r="13" spans="1:11" ht="19.5" customHeight="1">
      <c r="A13" s="17"/>
      <c r="B13" s="18" t="s">
        <v>120</v>
      </c>
      <c r="C13" s="226"/>
      <c r="D13" s="226"/>
      <c r="E13" s="226"/>
      <c r="F13" s="231"/>
      <c r="G13" s="233"/>
      <c r="H13" s="233"/>
      <c r="I13" s="226"/>
      <c r="J13" s="226"/>
      <c r="K13" s="17"/>
    </row>
    <row r="14" spans="1:11" ht="19.5" customHeight="1">
      <c r="A14" s="17"/>
      <c r="B14" s="19" t="s">
        <v>63</v>
      </c>
      <c r="C14" s="226"/>
      <c r="D14" s="226"/>
      <c r="E14" s="226"/>
      <c r="F14" s="231"/>
      <c r="G14" s="233"/>
      <c r="H14" s="233"/>
      <c r="I14" s="226"/>
      <c r="J14" s="226"/>
      <c r="K14" s="17" t="s">
        <v>101</v>
      </c>
    </row>
    <row r="15" spans="1:11" ht="29.25" customHeight="1">
      <c r="A15" s="33" t="s">
        <v>68</v>
      </c>
      <c r="B15" s="35" t="s">
        <v>160</v>
      </c>
      <c r="C15" s="227">
        <f>C17</f>
        <v>0</v>
      </c>
      <c r="D15" s="227">
        <f aca="true" t="shared" si="2" ref="D15:K15">D17</f>
        <v>0</v>
      </c>
      <c r="E15" s="230" t="str">
        <f t="shared" si="2"/>
        <v>x</v>
      </c>
      <c r="F15" s="230" t="str">
        <f t="shared" si="2"/>
        <v>x</v>
      </c>
      <c r="G15" s="663" t="str">
        <f t="shared" si="2"/>
        <v>x</v>
      </c>
      <c r="H15" s="662">
        <f t="shared" si="2"/>
        <v>0</v>
      </c>
      <c r="I15" s="230" t="str">
        <f t="shared" si="2"/>
        <v>x</v>
      </c>
      <c r="J15" s="227">
        <f t="shared" si="2"/>
        <v>0</v>
      </c>
      <c r="K15" s="227">
        <f t="shared" si="2"/>
        <v>0</v>
      </c>
    </row>
    <row r="16" spans="1:11" ht="19.5" customHeight="1">
      <c r="A16" s="10"/>
      <c r="B16" s="18" t="s">
        <v>120</v>
      </c>
      <c r="C16" s="226"/>
      <c r="D16" s="226"/>
      <c r="E16" s="231"/>
      <c r="F16" s="231"/>
      <c r="G16" s="664"/>
      <c r="H16" s="233"/>
      <c r="I16" s="231"/>
      <c r="J16" s="226"/>
      <c r="K16" s="10"/>
    </row>
    <row r="17" spans="1:11" ht="19.5" customHeight="1" thickBot="1">
      <c r="A17" s="330"/>
      <c r="B17" s="550" t="s">
        <v>63</v>
      </c>
      <c r="C17" s="269"/>
      <c r="D17" s="269"/>
      <c r="E17" s="551" t="s">
        <v>101</v>
      </c>
      <c r="F17" s="551" t="s">
        <v>101</v>
      </c>
      <c r="G17" s="665" t="s">
        <v>101</v>
      </c>
      <c r="H17" s="1082"/>
      <c r="I17" s="551" t="s">
        <v>101</v>
      </c>
      <c r="J17" s="269"/>
      <c r="K17" s="330"/>
    </row>
    <row r="18" spans="1:11" s="24" customFormat="1" ht="19.5" customHeight="1" thickBot="1">
      <c r="A18" s="1401" t="s">
        <v>128</v>
      </c>
      <c r="B18" s="1402"/>
      <c r="C18" s="331">
        <f>C9+C12+C15</f>
        <v>133374</v>
      </c>
      <c r="D18" s="331">
        <f>D9+D12+D15</f>
        <v>1573656</v>
      </c>
      <c r="E18" s="331">
        <f>E9+E12</f>
        <v>0</v>
      </c>
      <c r="F18" s="331">
        <f>F9+F12</f>
        <v>0</v>
      </c>
      <c r="G18" s="666">
        <f>G9+G12</f>
        <v>8000</v>
      </c>
      <c r="H18" s="666">
        <f>H9+H12+H15</f>
        <v>1707030</v>
      </c>
      <c r="I18" s="331">
        <f>I9+I12</f>
        <v>0</v>
      </c>
      <c r="J18" s="331">
        <f>J9+J12+J15</f>
        <v>0</v>
      </c>
      <c r="K18" s="552" t="s">
        <v>101</v>
      </c>
    </row>
    <row r="19" ht="15" customHeight="1"/>
    <row r="20" ht="12.75" customHeight="1">
      <c r="A20" s="28"/>
    </row>
    <row r="21" ht="12.75">
      <c r="A21" s="28"/>
    </row>
    <row r="22" ht="12.75">
      <c r="A22" s="28"/>
    </row>
    <row r="23" ht="12.75">
      <c r="A23" s="28"/>
    </row>
  </sheetData>
  <mergeCells count="16">
    <mergeCell ref="E5:G5"/>
    <mergeCell ref="F6:G6"/>
    <mergeCell ref="K4:K7"/>
    <mergeCell ref="H5:H7"/>
    <mergeCell ref="I5:I7"/>
    <mergeCell ref="J4:J7"/>
    <mergeCell ref="J1:K1"/>
    <mergeCell ref="A18:B18"/>
    <mergeCell ref="H4:I4"/>
    <mergeCell ref="A2:J2"/>
    <mergeCell ref="A4:A7"/>
    <mergeCell ref="B4:B7"/>
    <mergeCell ref="C4:C7"/>
    <mergeCell ref="D5:D7"/>
    <mergeCell ref="D4:G4"/>
    <mergeCell ref="E6:E7"/>
  </mergeCells>
  <printOptions horizontalCentered="1"/>
  <pageMargins left="0.57" right="0.54" top="0.71" bottom="0.49" header="0.46" footer="0.32"/>
  <pageSetup horizontalDpi="600" verticalDpi="600" orientation="landscape" paperSize="9" scale="95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MarekK</cp:lastModifiedBy>
  <cp:lastPrinted>2009-01-08T07:52:18Z</cp:lastPrinted>
  <dcterms:created xsi:type="dcterms:W3CDTF">1998-12-09T13:02:10Z</dcterms:created>
  <dcterms:modified xsi:type="dcterms:W3CDTF">2009-01-08T08:14:52Z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